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filterPrivacy="1"/>
  <xr:revisionPtr revIDLastSave="4" documentId="8_{63CE7B23-ACB3-4C0B-AD3B-2611969AD438}" xr6:coauthVersionLast="47" xr6:coauthVersionMax="47" xr10:uidLastSave="{939C2DA0-E5AA-4001-A2FC-435F0CBCAAF3}"/>
  <bookViews>
    <workbookView xWindow="-108" yWindow="-108" windowWidth="23256" windowHeight="12456" tabRatio="773" xr2:uid="{00000000-000D-0000-FFFF-FFFF00000000}"/>
  </bookViews>
  <sheets>
    <sheet name="AKTUÁLNÍ ZI" sheetId="69" r:id="rId1"/>
  </sheets>
  <definedNames>
    <definedName name="_xlnm._FilterDatabase" localSheetId="0" hidden="1">'AKTUÁLNÍ ZI'!$A$4:$AF$563</definedName>
    <definedName name="_xlnm.Print_Titles" localSheetId="0">'AKTUÁLNÍ ZI'!$1:$4</definedName>
    <definedName name="_xlnm.Print_Area" localSheetId="0">'AKTUÁLNÍ ZI'!$A$1:$AF$576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50" i="69" l="1"/>
  <c r="I550" i="69"/>
  <c r="J546" i="69"/>
  <c r="I546" i="69"/>
  <c r="J524" i="69"/>
  <c r="I524" i="69"/>
  <c r="J520" i="69"/>
  <c r="I520" i="69"/>
  <c r="J451" i="69"/>
  <c r="I451" i="69"/>
  <c r="J445" i="69"/>
  <c r="I445" i="69"/>
  <c r="J440" i="69"/>
  <c r="I440" i="69"/>
  <c r="J431" i="69"/>
  <c r="I431" i="69"/>
  <c r="J428" i="69"/>
  <c r="I428" i="69"/>
  <c r="J413" i="69"/>
  <c r="I413" i="69"/>
  <c r="J294" i="69"/>
  <c r="I294" i="69"/>
  <c r="J223" i="69"/>
  <c r="I223" i="69"/>
  <c r="J37" i="69"/>
  <c r="I37" i="69"/>
  <c r="J27" i="69"/>
  <c r="I27" i="69"/>
  <c r="G493" i="69"/>
  <c r="N423" i="69"/>
  <c r="G423" i="69"/>
  <c r="N500" i="69" l="1"/>
  <c r="G500" i="69"/>
  <c r="P448" i="69"/>
  <c r="N448" i="69"/>
  <c r="N382" i="69"/>
  <c r="G382" i="69"/>
  <c r="P163" i="69"/>
  <c r="N163" i="69"/>
  <c r="D573" i="69"/>
  <c r="F574" i="69"/>
  <c r="E574" i="69"/>
  <c r="O220" i="69" l="1"/>
  <c r="L220" i="69" s="1"/>
  <c r="O219" i="69"/>
  <c r="L219" i="69" s="1"/>
  <c r="O218" i="69"/>
  <c r="L218" i="69" s="1"/>
  <c r="O217" i="69"/>
  <c r="L217" i="69" s="1"/>
  <c r="O216" i="69"/>
  <c r="L216" i="69" s="1"/>
  <c r="O215" i="69"/>
  <c r="L215" i="69" s="1"/>
  <c r="O214" i="69"/>
  <c r="L214" i="69" s="1"/>
  <c r="O213" i="69"/>
  <c r="L213" i="69" s="1"/>
  <c r="O212" i="69"/>
  <c r="L212" i="69" s="1"/>
  <c r="O211" i="69"/>
  <c r="L211" i="69" s="1"/>
  <c r="O210" i="69"/>
  <c r="L210" i="69" s="1"/>
  <c r="O209" i="69"/>
  <c r="L209" i="69" s="1"/>
  <c r="O208" i="69"/>
  <c r="L208" i="69" s="1"/>
  <c r="O207" i="69"/>
  <c r="L207" i="69" s="1"/>
  <c r="O206" i="69"/>
  <c r="L206" i="69" s="1"/>
  <c r="O205" i="69"/>
  <c r="L205" i="69" s="1"/>
  <c r="O204" i="69"/>
  <c r="L204" i="69" s="1"/>
  <c r="O203" i="69"/>
  <c r="L203" i="69" s="1"/>
  <c r="O202" i="69"/>
  <c r="L202" i="69" s="1"/>
  <c r="O201" i="69"/>
  <c r="L201" i="69" s="1"/>
  <c r="O200" i="69"/>
  <c r="L200" i="69" s="1"/>
  <c r="O199" i="69"/>
  <c r="L199" i="69" s="1"/>
  <c r="O198" i="69"/>
  <c r="L198" i="69" s="1"/>
  <c r="O197" i="69"/>
  <c r="L197" i="69" s="1"/>
  <c r="O196" i="69"/>
  <c r="L196" i="69" s="1"/>
  <c r="O195" i="69"/>
  <c r="L195" i="69" s="1"/>
  <c r="O194" i="69"/>
  <c r="L194" i="69" s="1"/>
  <c r="O193" i="69"/>
  <c r="L193" i="69" s="1"/>
  <c r="O192" i="69"/>
  <c r="L192" i="69" s="1"/>
  <c r="O191" i="69"/>
  <c r="L191" i="69" s="1"/>
  <c r="O190" i="69"/>
  <c r="L190" i="69" s="1"/>
  <c r="O189" i="69"/>
  <c r="L189" i="69" s="1"/>
  <c r="O188" i="69"/>
  <c r="L188" i="69" s="1"/>
  <c r="O187" i="69"/>
  <c r="L187" i="69" s="1"/>
  <c r="O186" i="69"/>
  <c r="L186" i="69" s="1"/>
  <c r="O185" i="69"/>
  <c r="L185" i="69" s="1"/>
  <c r="O184" i="69"/>
  <c r="L184" i="69" s="1"/>
  <c r="O183" i="69"/>
  <c r="L183" i="69" s="1"/>
  <c r="O182" i="69"/>
  <c r="L182" i="69" s="1"/>
  <c r="O181" i="69"/>
  <c r="L181" i="69" s="1"/>
  <c r="O180" i="69"/>
  <c r="L180" i="69" s="1"/>
  <c r="O179" i="69"/>
  <c r="L179" i="69" s="1"/>
  <c r="O178" i="69"/>
  <c r="L178" i="69" s="1"/>
  <c r="O177" i="69"/>
  <c r="L177" i="69" s="1"/>
  <c r="O176" i="69"/>
  <c r="L176" i="69" s="1"/>
  <c r="O175" i="69"/>
  <c r="L175" i="69" s="1"/>
  <c r="O174" i="69"/>
  <c r="L174" i="69" s="1"/>
  <c r="P173" i="69"/>
  <c r="O173" i="69"/>
  <c r="L173" i="69" s="1"/>
  <c r="O172" i="69"/>
  <c r="L172" i="69" s="1"/>
  <c r="O171" i="69"/>
  <c r="L171" i="69" s="1"/>
  <c r="O170" i="69"/>
  <c r="L170" i="69" s="1"/>
  <c r="O169" i="69"/>
  <c r="L169" i="69" s="1"/>
  <c r="O168" i="69"/>
  <c r="L168" i="69" s="1"/>
  <c r="O167" i="69"/>
  <c r="L167" i="69" s="1"/>
  <c r="O166" i="69"/>
  <c r="L166" i="69" s="1"/>
  <c r="O165" i="69"/>
  <c r="L165" i="69" s="1"/>
  <c r="O164" i="69"/>
  <c r="L164" i="69" s="1"/>
  <c r="O163" i="69"/>
  <c r="L163" i="69" s="1"/>
  <c r="O162" i="69"/>
  <c r="L162" i="69" s="1"/>
  <c r="G162" i="69"/>
  <c r="P161" i="69"/>
  <c r="O161" i="69"/>
  <c r="L161" i="69" s="1"/>
  <c r="O160" i="69"/>
  <c r="L160" i="69" s="1"/>
  <c r="O159" i="69"/>
  <c r="L159" i="69" s="1"/>
  <c r="O158" i="69"/>
  <c r="L158" i="69" s="1"/>
  <c r="O157" i="69"/>
  <c r="L157" i="69" s="1"/>
  <c r="O156" i="69"/>
  <c r="L156" i="69" s="1"/>
  <c r="G156" i="69"/>
  <c r="S155" i="69"/>
  <c r="O155" i="69"/>
  <c r="L155" i="69" s="1"/>
  <c r="P154" i="69"/>
  <c r="O154" i="69"/>
  <c r="L154" i="69" s="1"/>
  <c r="G154" i="69"/>
  <c r="O153" i="69"/>
  <c r="L153" i="69" s="1"/>
  <c r="O152" i="69"/>
  <c r="L152" i="69" s="1"/>
  <c r="P151" i="69"/>
  <c r="O151" i="69"/>
  <c r="L151" i="69" s="1"/>
  <c r="P150" i="69"/>
  <c r="O150" i="69"/>
  <c r="L150" i="69" s="1"/>
  <c r="O149" i="69"/>
  <c r="L149" i="69" s="1"/>
  <c r="G149" i="69"/>
  <c r="O148" i="69"/>
  <c r="L148" i="69" s="1"/>
  <c r="P147" i="69"/>
  <c r="O147" i="69"/>
  <c r="L147" i="69" s="1"/>
  <c r="P146" i="69"/>
  <c r="O146" i="69"/>
  <c r="L146" i="69" s="1"/>
  <c r="O145" i="69"/>
  <c r="L145" i="69" s="1"/>
  <c r="P144" i="69"/>
  <c r="O144" i="69"/>
  <c r="L144" i="69" s="1"/>
  <c r="P143" i="69"/>
  <c r="O143" i="69"/>
  <c r="L143" i="69" s="1"/>
  <c r="O142" i="69"/>
  <c r="L142" i="69" s="1"/>
  <c r="P141" i="69"/>
  <c r="O141" i="69"/>
  <c r="L141" i="69" s="1"/>
  <c r="O140" i="69"/>
  <c r="L140" i="69" s="1"/>
  <c r="O139" i="69"/>
  <c r="L139" i="69" s="1"/>
  <c r="P138" i="69"/>
  <c r="O138" i="69"/>
  <c r="L138" i="69" s="1"/>
  <c r="O137" i="69"/>
  <c r="L137" i="69" s="1"/>
  <c r="Q136" i="69"/>
  <c r="O136" i="69"/>
  <c r="L136" i="69" s="1"/>
  <c r="G136" i="69"/>
  <c r="O135" i="69"/>
  <c r="L135" i="69" s="1"/>
  <c r="G135" i="69"/>
  <c r="O134" i="69"/>
  <c r="L134" i="69" s="1"/>
  <c r="G134" i="69"/>
  <c r="O133" i="69"/>
  <c r="L133" i="69" s="1"/>
  <c r="G133" i="69"/>
  <c r="O132" i="69"/>
  <c r="L132" i="69" s="1"/>
  <c r="G132" i="69"/>
  <c r="O131" i="69"/>
  <c r="L131" i="69" s="1"/>
  <c r="O130" i="69"/>
  <c r="L130" i="69" s="1"/>
  <c r="G130" i="69"/>
  <c r="O129" i="69"/>
  <c r="L129" i="69" s="1"/>
  <c r="O128" i="69"/>
  <c r="L128" i="69" s="1"/>
  <c r="O127" i="69"/>
  <c r="L127" i="69" s="1"/>
  <c r="G127" i="69"/>
  <c r="O126" i="69"/>
  <c r="G126" i="69"/>
  <c r="P125" i="69"/>
  <c r="O125" i="69"/>
  <c r="L125" i="69" s="1"/>
  <c r="O124" i="69"/>
  <c r="L124" i="69" s="1"/>
  <c r="P123" i="69"/>
  <c r="O123" i="69"/>
  <c r="L123" i="69" s="1"/>
  <c r="O122" i="69"/>
  <c r="L122" i="69" s="1"/>
  <c r="G122" i="69"/>
  <c r="P121" i="69"/>
  <c r="O121" i="69"/>
  <c r="L121" i="69" s="1"/>
  <c r="P120" i="69"/>
  <c r="O120" i="69"/>
  <c r="L120" i="69" s="1"/>
  <c r="O119" i="69"/>
  <c r="L119" i="69" s="1"/>
  <c r="O118" i="69"/>
  <c r="L118" i="69" s="1"/>
  <c r="O117" i="69"/>
  <c r="L117" i="69" s="1"/>
  <c r="G117" i="69"/>
  <c r="O116" i="69"/>
  <c r="P115" i="69"/>
  <c r="O115" i="69"/>
  <c r="L115" i="69" s="1"/>
  <c r="O114" i="69"/>
  <c r="L114" i="69" s="1"/>
  <c r="O113" i="69"/>
  <c r="L113" i="69" s="1"/>
  <c r="O112" i="69"/>
  <c r="L112" i="69" s="1"/>
  <c r="O111" i="69"/>
  <c r="L111" i="69" s="1"/>
  <c r="O110" i="69"/>
  <c r="L110" i="69" s="1"/>
  <c r="O109" i="69"/>
  <c r="L109" i="69" s="1"/>
  <c r="O108" i="69"/>
  <c r="L108" i="69" s="1"/>
  <c r="O107" i="69"/>
  <c r="L107" i="69" s="1"/>
  <c r="O106" i="69"/>
  <c r="L106" i="69" s="1"/>
  <c r="G106" i="69"/>
  <c r="O105" i="69"/>
  <c r="L105" i="69" s="1"/>
  <c r="O104" i="69"/>
  <c r="L104" i="69" s="1"/>
  <c r="G104" i="69"/>
  <c r="O103" i="69"/>
  <c r="L103" i="69" s="1"/>
  <c r="G103" i="69"/>
  <c r="O102" i="69"/>
  <c r="L102" i="69" s="1"/>
  <c r="G102" i="69"/>
  <c r="P101" i="69"/>
  <c r="O101" i="69"/>
  <c r="L101" i="69" s="1"/>
  <c r="G101" i="69"/>
  <c r="O100" i="69"/>
  <c r="L100" i="69" s="1"/>
  <c r="G100" i="69"/>
  <c r="O99" i="69"/>
  <c r="L99" i="69" s="1"/>
  <c r="G99" i="69"/>
  <c r="O98" i="69"/>
  <c r="L98" i="69" s="1"/>
  <c r="G98" i="69"/>
  <c r="O97" i="69"/>
  <c r="L97" i="69" s="1"/>
  <c r="G97" i="69"/>
  <c r="O96" i="69"/>
  <c r="L96" i="69" s="1"/>
  <c r="G96" i="69"/>
  <c r="O95" i="69"/>
  <c r="L95" i="69" s="1"/>
  <c r="P94" i="69"/>
  <c r="O94" i="69"/>
  <c r="L94" i="69" s="1"/>
  <c r="O93" i="69"/>
  <c r="L93" i="69" s="1"/>
  <c r="G93" i="69"/>
  <c r="O92" i="69"/>
  <c r="L92" i="69" s="1"/>
  <c r="G92" i="69"/>
  <c r="O91" i="69"/>
  <c r="L91" i="69" s="1"/>
  <c r="G91" i="69"/>
  <c r="O90" i="69"/>
  <c r="L90" i="69" s="1"/>
  <c r="G90" i="69"/>
  <c r="O89" i="69"/>
  <c r="L89" i="69" s="1"/>
  <c r="G89" i="69"/>
  <c r="O88" i="69"/>
  <c r="L88" i="69" s="1"/>
  <c r="G88" i="69"/>
  <c r="O87" i="69"/>
  <c r="L87" i="69" s="1"/>
  <c r="G87" i="69"/>
  <c r="O86" i="69"/>
  <c r="L86" i="69" s="1"/>
  <c r="G86" i="69"/>
  <c r="O85" i="69"/>
  <c r="L85" i="69" s="1"/>
  <c r="G85" i="69"/>
  <c r="P84" i="69"/>
  <c r="N84" i="69"/>
  <c r="O84" i="69" s="1"/>
  <c r="L84" i="69" s="1"/>
  <c r="G84" i="69"/>
  <c r="O83" i="69"/>
  <c r="L83" i="69" s="1"/>
  <c r="G83" i="69"/>
  <c r="O82" i="69"/>
  <c r="L82" i="69" s="1"/>
  <c r="G82" i="69"/>
  <c r="N81" i="69"/>
  <c r="O81" i="69" s="1"/>
  <c r="L81" i="69" s="1"/>
  <c r="G81" i="69"/>
  <c r="N80" i="69"/>
  <c r="O80" i="69" s="1"/>
  <c r="L80" i="69" s="1"/>
  <c r="G80" i="69"/>
  <c r="O79" i="69"/>
  <c r="L79" i="69" s="1"/>
  <c r="G79" i="69"/>
  <c r="O78" i="69"/>
  <c r="L78" i="69" s="1"/>
  <c r="G78" i="69"/>
  <c r="P77" i="69"/>
  <c r="O77" i="69"/>
  <c r="L77" i="69" s="1"/>
  <c r="G77" i="69"/>
  <c r="O76" i="69"/>
  <c r="L76" i="69" s="1"/>
  <c r="G76" i="69"/>
  <c r="O75" i="69"/>
  <c r="L75" i="69" s="1"/>
  <c r="O74" i="69"/>
  <c r="L74" i="69" s="1"/>
  <c r="O73" i="69"/>
  <c r="L73" i="69" s="1"/>
  <c r="G73" i="69"/>
  <c r="P72" i="69"/>
  <c r="O72" i="69"/>
  <c r="L72" i="69" s="1"/>
  <c r="O71" i="69"/>
  <c r="L71" i="69" s="1"/>
  <c r="G71" i="69"/>
  <c r="X70" i="69"/>
  <c r="W70" i="69"/>
  <c r="U70" i="69"/>
  <c r="O70" i="69"/>
  <c r="L70" i="69" s="1"/>
  <c r="G70" i="69"/>
  <c r="O69" i="69"/>
  <c r="L69" i="69" s="1"/>
  <c r="G69" i="69"/>
  <c r="O68" i="69"/>
  <c r="G68" i="69"/>
  <c r="O67" i="69"/>
  <c r="L67" i="69" s="1"/>
  <c r="G67" i="69"/>
  <c r="O66" i="69"/>
  <c r="L66" i="69" s="1"/>
  <c r="G66" i="69"/>
  <c r="P65" i="69"/>
  <c r="O65" i="69"/>
  <c r="L65" i="69" s="1"/>
  <c r="G65" i="69"/>
  <c r="S64" i="69"/>
  <c r="O64" i="69"/>
  <c r="L64" i="69" s="1"/>
  <c r="G64" i="69"/>
  <c r="O63" i="69"/>
  <c r="L63" i="69" s="1"/>
  <c r="G63" i="69"/>
  <c r="O62" i="69"/>
  <c r="L62" i="69" s="1"/>
  <c r="O61" i="69"/>
  <c r="L61" i="69" s="1"/>
  <c r="G61" i="69"/>
  <c r="O60" i="69"/>
  <c r="L60" i="69" s="1"/>
  <c r="G60" i="69"/>
  <c r="O59" i="69"/>
  <c r="L59" i="69" s="1"/>
  <c r="G59" i="69"/>
  <c r="N58" i="69"/>
  <c r="O58" i="69" s="1"/>
  <c r="L58" i="69" s="1"/>
  <c r="H58" i="69"/>
  <c r="G58" i="69"/>
  <c r="O57" i="69"/>
  <c r="L57" i="69" s="1"/>
  <c r="G57" i="69"/>
  <c r="O56" i="69"/>
  <c r="L56" i="69" s="1"/>
  <c r="G56" i="69"/>
  <c r="O55" i="69"/>
  <c r="L55" i="69" s="1"/>
  <c r="N54" i="69"/>
  <c r="O54" i="69" s="1"/>
  <c r="L54" i="69" s="1"/>
  <c r="G54" i="69"/>
  <c r="O53" i="69"/>
  <c r="L53" i="69" s="1"/>
  <c r="G53" i="69"/>
  <c r="U52" i="69"/>
  <c r="X52" i="69" s="1"/>
  <c r="O52" i="69"/>
  <c r="L52" i="69" s="1"/>
  <c r="G52" i="69"/>
  <c r="O51" i="69"/>
  <c r="L51" i="69" s="1"/>
  <c r="X50" i="69"/>
  <c r="U50" i="69"/>
  <c r="O50" i="69"/>
  <c r="L50" i="69" s="1"/>
  <c r="G50" i="69"/>
  <c r="P49" i="69"/>
  <c r="O49" i="69"/>
  <c r="L49" i="69" s="1"/>
  <c r="P48" i="69"/>
  <c r="O48" i="69"/>
  <c r="L48" i="69" s="1"/>
  <c r="O47" i="69"/>
  <c r="L47" i="69" s="1"/>
  <c r="G47" i="69"/>
  <c r="P46" i="69"/>
  <c r="O46" i="69"/>
  <c r="L46" i="69" s="1"/>
  <c r="Q45" i="69"/>
  <c r="O45" i="69"/>
  <c r="L45" i="69" s="1"/>
  <c r="O44" i="69"/>
  <c r="L44" i="69" s="1"/>
  <c r="P43" i="69"/>
  <c r="O43" i="69"/>
  <c r="O42" i="69"/>
  <c r="L42" i="69" s="1"/>
  <c r="P41" i="69"/>
  <c r="O41" i="69"/>
  <c r="L41" i="69" s="1"/>
  <c r="O40" i="69"/>
  <c r="L40" i="69" s="1"/>
  <c r="G40" i="69"/>
  <c r="O39" i="69"/>
  <c r="L39" i="69" s="1"/>
  <c r="G39" i="69"/>
  <c r="Q38" i="69"/>
  <c r="O38" i="69"/>
  <c r="L38" i="69" s="1"/>
  <c r="G38" i="69"/>
  <c r="O5" i="69"/>
  <c r="G6" i="69"/>
  <c r="O6" i="69"/>
  <c r="O7" i="69"/>
  <c r="O8" i="69"/>
  <c r="O9" i="69"/>
  <c r="O10" i="69"/>
  <c r="L10" i="69" s="1"/>
  <c r="O11" i="69"/>
  <c r="O12" i="69"/>
  <c r="O13" i="69"/>
  <c r="O14" i="69"/>
  <c r="O15" i="69"/>
  <c r="O16" i="69"/>
  <c r="G17" i="69"/>
  <c r="O17" i="69"/>
  <c r="O18" i="69"/>
  <c r="K19" i="69"/>
  <c r="O19" i="69"/>
  <c r="O20" i="69"/>
  <c r="O21" i="69"/>
  <c r="O22" i="69"/>
  <c r="O23" i="69"/>
  <c r="O24" i="69"/>
  <c r="H27" i="69"/>
  <c r="M27" i="69"/>
  <c r="N27" i="69"/>
  <c r="P27" i="69"/>
  <c r="Q27" i="69"/>
  <c r="R27" i="69"/>
  <c r="S27" i="69"/>
  <c r="T27" i="69"/>
  <c r="U27" i="69"/>
  <c r="V27" i="69"/>
  <c r="W27" i="69"/>
  <c r="X27" i="69"/>
  <c r="Y27" i="69"/>
  <c r="G28" i="69"/>
  <c r="O28" i="69"/>
  <c r="G29" i="69"/>
  <c r="O29" i="69"/>
  <c r="P29" i="69"/>
  <c r="P37" i="69" s="1"/>
  <c r="G30" i="69"/>
  <c r="O30" i="69"/>
  <c r="G31" i="69"/>
  <c r="O31" i="69"/>
  <c r="G32" i="69"/>
  <c r="O32" i="69"/>
  <c r="O33" i="69"/>
  <c r="O34" i="69"/>
  <c r="O35" i="69"/>
  <c r="H37" i="69"/>
  <c r="K37" i="69"/>
  <c r="M37" i="69"/>
  <c r="N37" i="69"/>
  <c r="Q37" i="69"/>
  <c r="R37" i="69"/>
  <c r="S37" i="69"/>
  <c r="T37" i="69"/>
  <c r="U37" i="69"/>
  <c r="V37" i="69"/>
  <c r="W37" i="69"/>
  <c r="X37" i="69"/>
  <c r="Y37" i="69"/>
  <c r="N550" i="69"/>
  <c r="M550" i="69"/>
  <c r="L550" i="69"/>
  <c r="K550" i="69"/>
  <c r="H550" i="69"/>
  <c r="M546" i="69"/>
  <c r="K546" i="69"/>
  <c r="H546" i="69"/>
  <c r="N524" i="69"/>
  <c r="M524" i="69"/>
  <c r="K524" i="69"/>
  <c r="H524" i="69"/>
  <c r="M520" i="69"/>
  <c r="H520" i="69"/>
  <c r="N451" i="69"/>
  <c r="M451" i="69"/>
  <c r="K451" i="69"/>
  <c r="H451" i="69"/>
  <c r="N445" i="69"/>
  <c r="M445" i="69"/>
  <c r="K445" i="69"/>
  <c r="H445" i="69"/>
  <c r="N440" i="69"/>
  <c r="M440" i="69"/>
  <c r="K440" i="69"/>
  <c r="H440" i="69"/>
  <c r="N431" i="69"/>
  <c r="M431" i="69"/>
  <c r="K431" i="69"/>
  <c r="H431" i="69"/>
  <c r="N428" i="69"/>
  <c r="M428" i="69"/>
  <c r="K428" i="69"/>
  <c r="H428" i="69"/>
  <c r="N413" i="69"/>
  <c r="M413" i="69"/>
  <c r="H413" i="69"/>
  <c r="N294" i="69"/>
  <c r="M294" i="69"/>
  <c r="H294" i="69"/>
  <c r="K223" i="69"/>
  <c r="L116" i="69" l="1"/>
  <c r="L43" i="69"/>
  <c r="L126" i="69"/>
  <c r="N223" i="69"/>
  <c r="L23" i="69"/>
  <c r="O27" i="69"/>
  <c r="L9" i="69"/>
  <c r="L19" i="69"/>
  <c r="L16" i="69"/>
  <c r="L13" i="69"/>
  <c r="L6" i="69"/>
  <c r="L18" i="69"/>
  <c r="L28" i="69"/>
  <c r="L20" i="69"/>
  <c r="K27" i="69"/>
  <c r="L12" i="69"/>
  <c r="L14" i="69"/>
  <c r="L8" i="69"/>
  <c r="O37" i="69"/>
  <c r="G37" i="69"/>
  <c r="L22" i="69"/>
  <c r="L5" i="69"/>
  <c r="L35" i="69"/>
  <c r="L17" i="69"/>
  <c r="L29" i="69"/>
  <c r="L32" i="69"/>
  <c r="L30" i="69"/>
  <c r="L15" i="69"/>
  <c r="L11" i="69"/>
  <c r="L7" i="69"/>
  <c r="L21" i="69"/>
  <c r="L34" i="69"/>
  <c r="L31" i="69"/>
  <c r="G27" i="69"/>
  <c r="M223" i="69"/>
  <c r="M551" i="69" s="1"/>
  <c r="O449" i="69"/>
  <c r="L449" i="69" s="1"/>
  <c r="O448" i="69"/>
  <c r="L448" i="69" s="1"/>
  <c r="O447" i="69"/>
  <c r="L447" i="69" s="1"/>
  <c r="O446" i="69"/>
  <c r="L446" i="69" s="1"/>
  <c r="L27" i="69" l="1"/>
  <c r="L37" i="69"/>
  <c r="H223" i="69"/>
  <c r="H551" i="69" s="1"/>
  <c r="L451" i="69"/>
  <c r="J551" i="69" l="1"/>
  <c r="W415" i="69" l="1"/>
  <c r="O411" i="69"/>
  <c r="L411" i="69" s="1"/>
  <c r="O410" i="69"/>
  <c r="L410" i="69" s="1"/>
  <c r="O409" i="69"/>
  <c r="L409" i="69" s="1"/>
  <c r="G409" i="69"/>
  <c r="O408" i="69"/>
  <c r="L408" i="69" s="1"/>
  <c r="O407" i="69"/>
  <c r="L407" i="69" s="1"/>
  <c r="O406" i="69"/>
  <c r="L406" i="69" s="1"/>
  <c r="O405" i="69"/>
  <c r="L405" i="69" s="1"/>
  <c r="O404" i="69"/>
  <c r="L404" i="69" s="1"/>
  <c r="O403" i="69"/>
  <c r="L403" i="69" s="1"/>
  <c r="O402" i="69"/>
  <c r="L402" i="69" s="1"/>
  <c r="O401" i="69"/>
  <c r="L401" i="69" s="1"/>
  <c r="O400" i="69"/>
  <c r="L400" i="69" s="1"/>
  <c r="O399" i="69"/>
  <c r="L399" i="69" s="1"/>
  <c r="O398" i="69"/>
  <c r="L398" i="69" s="1"/>
  <c r="O397" i="69"/>
  <c r="L397" i="69" s="1"/>
  <c r="O396" i="69"/>
  <c r="L396" i="69" s="1"/>
  <c r="O395" i="69"/>
  <c r="L395" i="69" s="1"/>
  <c r="O394" i="69"/>
  <c r="L394" i="69" s="1"/>
  <c r="O393" i="69"/>
  <c r="L393" i="69" s="1"/>
  <c r="O392" i="69"/>
  <c r="K392" i="69"/>
  <c r="K413" i="69" s="1"/>
  <c r="O391" i="69"/>
  <c r="L391" i="69" s="1"/>
  <c r="O390" i="69"/>
  <c r="L390" i="69" s="1"/>
  <c r="O389" i="69"/>
  <c r="L389" i="69" s="1"/>
  <c r="O388" i="69"/>
  <c r="L388" i="69" s="1"/>
  <c r="O387" i="69"/>
  <c r="L387" i="69" s="1"/>
  <c r="O386" i="69"/>
  <c r="L386" i="69" s="1"/>
  <c r="O385" i="69"/>
  <c r="L385" i="69" s="1"/>
  <c r="O384" i="69"/>
  <c r="L384" i="69" s="1"/>
  <c r="O383" i="69"/>
  <c r="L383" i="69" s="1"/>
  <c r="O382" i="69"/>
  <c r="L382" i="69" s="1"/>
  <c r="O381" i="69"/>
  <c r="L381" i="69" s="1"/>
  <c r="O380" i="69"/>
  <c r="L380" i="69" s="1"/>
  <c r="O379" i="69"/>
  <c r="L379" i="69" s="1"/>
  <c r="O378" i="69"/>
  <c r="L378" i="69" s="1"/>
  <c r="O377" i="69"/>
  <c r="L377" i="69" s="1"/>
  <c r="O376" i="69"/>
  <c r="L376" i="69" s="1"/>
  <c r="O375" i="69"/>
  <c r="L375" i="69" s="1"/>
  <c r="O374" i="69"/>
  <c r="L374" i="69" s="1"/>
  <c r="O373" i="69"/>
  <c r="L373" i="69" s="1"/>
  <c r="O372" i="69"/>
  <c r="L372" i="69" s="1"/>
  <c r="O371" i="69"/>
  <c r="L371" i="69" s="1"/>
  <c r="O370" i="69"/>
  <c r="L370" i="69" s="1"/>
  <c r="O369" i="69"/>
  <c r="L369" i="69" s="1"/>
  <c r="O368" i="69"/>
  <c r="L368" i="69" s="1"/>
  <c r="O367" i="69"/>
  <c r="L367" i="69" s="1"/>
  <c r="O366" i="69"/>
  <c r="L366" i="69" s="1"/>
  <c r="O365" i="69"/>
  <c r="L365" i="69" s="1"/>
  <c r="O364" i="69"/>
  <c r="L364" i="69" s="1"/>
  <c r="O363" i="69"/>
  <c r="L363" i="69" s="1"/>
  <c r="O362" i="69"/>
  <c r="L362" i="69" s="1"/>
  <c r="O361" i="69"/>
  <c r="L361" i="69" s="1"/>
  <c r="O360" i="69"/>
  <c r="L360" i="69" s="1"/>
  <c r="O359" i="69"/>
  <c r="L359" i="69" s="1"/>
  <c r="O358" i="69"/>
  <c r="L358" i="69" s="1"/>
  <c r="O357" i="69"/>
  <c r="L357" i="69" s="1"/>
  <c r="O356" i="69"/>
  <c r="L356" i="69" s="1"/>
  <c r="O355" i="69"/>
  <c r="L355" i="69" s="1"/>
  <c r="O354" i="69"/>
  <c r="L354" i="69" s="1"/>
  <c r="O353" i="69"/>
  <c r="L353" i="69" s="1"/>
  <c r="O352" i="69"/>
  <c r="L352" i="69" s="1"/>
  <c r="O351" i="69"/>
  <c r="L351" i="69" s="1"/>
  <c r="O350" i="69"/>
  <c r="L350" i="69" s="1"/>
  <c r="O349" i="69"/>
  <c r="L349" i="69" s="1"/>
  <c r="O348" i="69"/>
  <c r="L348" i="69" s="1"/>
  <c r="O347" i="69"/>
  <c r="L347" i="69" s="1"/>
  <c r="O346" i="69"/>
  <c r="L346" i="69" s="1"/>
  <c r="O345" i="69"/>
  <c r="L345" i="69" s="1"/>
  <c r="O344" i="69"/>
  <c r="L344" i="69" s="1"/>
  <c r="O343" i="69"/>
  <c r="L343" i="69" s="1"/>
  <c r="O342" i="69"/>
  <c r="L342" i="69" s="1"/>
  <c r="O341" i="69"/>
  <c r="L341" i="69" s="1"/>
  <c r="O340" i="69"/>
  <c r="L340" i="69" s="1"/>
  <c r="O339" i="69"/>
  <c r="L339" i="69" s="1"/>
  <c r="G339" i="69"/>
  <c r="O338" i="69"/>
  <c r="L338" i="69" s="1"/>
  <c r="O337" i="69"/>
  <c r="L337" i="69" s="1"/>
  <c r="O336" i="69"/>
  <c r="L336" i="69" s="1"/>
  <c r="O335" i="69"/>
  <c r="L335" i="69" s="1"/>
  <c r="O334" i="69"/>
  <c r="L334" i="69" s="1"/>
  <c r="O333" i="69"/>
  <c r="L333" i="69" s="1"/>
  <c r="O332" i="69"/>
  <c r="L332" i="69" s="1"/>
  <c r="G332" i="69"/>
  <c r="O331" i="69"/>
  <c r="L331" i="69" s="1"/>
  <c r="O330" i="69"/>
  <c r="L330" i="69" s="1"/>
  <c r="O329" i="69"/>
  <c r="L329" i="69" s="1"/>
  <c r="O328" i="69"/>
  <c r="L328" i="69" s="1"/>
  <c r="O327" i="69"/>
  <c r="L327" i="69" s="1"/>
  <c r="O326" i="69"/>
  <c r="L326" i="69" s="1"/>
  <c r="O325" i="69"/>
  <c r="L325" i="69" s="1"/>
  <c r="O324" i="69"/>
  <c r="L324" i="69" s="1"/>
  <c r="O323" i="69"/>
  <c r="L323" i="69" s="1"/>
  <c r="O322" i="69"/>
  <c r="L322" i="69" s="1"/>
  <c r="O321" i="69"/>
  <c r="L321" i="69" s="1"/>
  <c r="O320" i="69"/>
  <c r="L320" i="69" s="1"/>
  <c r="O319" i="69"/>
  <c r="L319" i="69" s="1"/>
  <c r="O318" i="69"/>
  <c r="L318" i="69" s="1"/>
  <c r="G318" i="69"/>
  <c r="O317" i="69"/>
  <c r="L317" i="69" s="1"/>
  <c r="O316" i="69"/>
  <c r="L316" i="69" s="1"/>
  <c r="O315" i="69"/>
  <c r="L315" i="69" s="1"/>
  <c r="O314" i="69"/>
  <c r="L314" i="69" s="1"/>
  <c r="O313" i="69"/>
  <c r="L313" i="69" s="1"/>
  <c r="O312" i="69"/>
  <c r="L312" i="69" s="1"/>
  <c r="O311" i="69"/>
  <c r="L311" i="69" s="1"/>
  <c r="O310" i="69"/>
  <c r="L310" i="69" s="1"/>
  <c r="O309" i="69"/>
  <c r="L309" i="69" s="1"/>
  <c r="O308" i="69"/>
  <c r="L308" i="69" s="1"/>
  <c r="G308" i="69"/>
  <c r="O307" i="69"/>
  <c r="L307" i="69" s="1"/>
  <c r="G307" i="69"/>
  <c r="O306" i="69"/>
  <c r="L306" i="69" s="1"/>
  <c r="O305" i="69"/>
  <c r="L305" i="69" s="1"/>
  <c r="G305" i="69"/>
  <c r="O304" i="69"/>
  <c r="L304" i="69" s="1"/>
  <c r="O303" i="69"/>
  <c r="L303" i="69" s="1"/>
  <c r="O302" i="69"/>
  <c r="L302" i="69" s="1"/>
  <c r="O301" i="69"/>
  <c r="L301" i="69" s="1"/>
  <c r="P300" i="69"/>
  <c r="O300" i="69"/>
  <c r="L300" i="69" s="1"/>
  <c r="O299" i="69"/>
  <c r="L299" i="69" s="1"/>
  <c r="G299" i="69"/>
  <c r="O298" i="69"/>
  <c r="L298" i="69" s="1"/>
  <c r="Q297" i="69"/>
  <c r="O297" i="69"/>
  <c r="L297" i="69" s="1"/>
  <c r="O296" i="69"/>
  <c r="L296" i="69" s="1"/>
  <c r="P295" i="69"/>
  <c r="O295" i="69"/>
  <c r="L295" i="69" s="1"/>
  <c r="G295" i="69"/>
  <c r="R413" i="69"/>
  <c r="S413" i="69"/>
  <c r="T413" i="69"/>
  <c r="U413" i="69"/>
  <c r="V413" i="69"/>
  <c r="W413" i="69"/>
  <c r="X413" i="69"/>
  <c r="Y413" i="69"/>
  <c r="O414" i="69"/>
  <c r="L414" i="69" s="1"/>
  <c r="O415" i="69"/>
  <c r="L415" i="69" s="1"/>
  <c r="P413" i="69" l="1"/>
  <c r="Q299" i="69"/>
  <c r="Q409" i="69"/>
  <c r="G413" i="69"/>
  <c r="L392" i="69"/>
  <c r="L413" i="69" s="1"/>
  <c r="O413" i="69"/>
  <c r="Q413" i="69" l="1"/>
  <c r="O292" i="69" l="1"/>
  <c r="L292" i="69" s="1"/>
  <c r="O291" i="69"/>
  <c r="L291" i="69" s="1"/>
  <c r="O290" i="69"/>
  <c r="L290" i="69" s="1"/>
  <c r="O289" i="69"/>
  <c r="L289" i="69" s="1"/>
  <c r="O288" i="69"/>
  <c r="L288" i="69" s="1"/>
  <c r="O287" i="69"/>
  <c r="L287" i="69" s="1"/>
  <c r="P286" i="69"/>
  <c r="O286" i="69"/>
  <c r="L286" i="69" s="1"/>
  <c r="G286" i="69"/>
  <c r="O285" i="69"/>
  <c r="L285" i="69" s="1"/>
  <c r="O284" i="69"/>
  <c r="L284" i="69" s="1"/>
  <c r="O283" i="69"/>
  <c r="L283" i="69" s="1"/>
  <c r="O282" i="69"/>
  <c r="L282" i="69" s="1"/>
  <c r="O281" i="69"/>
  <c r="L281" i="69" s="1"/>
  <c r="O280" i="69"/>
  <c r="L280" i="69" s="1"/>
  <c r="O279" i="69"/>
  <c r="L279" i="69" s="1"/>
  <c r="O278" i="69"/>
  <c r="L278" i="69" s="1"/>
  <c r="O277" i="69"/>
  <c r="L277" i="69" s="1"/>
  <c r="O276" i="69"/>
  <c r="L276" i="69" s="1"/>
  <c r="O275" i="69"/>
  <c r="L275" i="69" s="1"/>
  <c r="O274" i="69"/>
  <c r="L274" i="69" s="1"/>
  <c r="O273" i="69"/>
  <c r="L273" i="69" s="1"/>
  <c r="O272" i="69"/>
  <c r="L272" i="69" s="1"/>
  <c r="O271" i="69"/>
  <c r="L271" i="69" s="1"/>
  <c r="O270" i="69"/>
  <c r="L270" i="69" s="1"/>
  <c r="G270" i="69"/>
  <c r="O269" i="69"/>
  <c r="L269" i="69" s="1"/>
  <c r="O268" i="69"/>
  <c r="L268" i="69" s="1"/>
  <c r="O267" i="69"/>
  <c r="L267" i="69" s="1"/>
  <c r="O266" i="69"/>
  <c r="L266" i="69" s="1"/>
  <c r="O265" i="69"/>
  <c r="K265" i="69"/>
  <c r="K294" i="69" s="1"/>
  <c r="O264" i="69"/>
  <c r="L264" i="69" s="1"/>
  <c r="G264" i="69"/>
  <c r="O263" i="69"/>
  <c r="L263" i="69" s="1"/>
  <c r="O262" i="69"/>
  <c r="L262" i="69" s="1"/>
  <c r="O261" i="69"/>
  <c r="L261" i="69" s="1"/>
  <c r="O260" i="69"/>
  <c r="L260" i="69" s="1"/>
  <c r="G260" i="69"/>
  <c r="O259" i="69"/>
  <c r="L259" i="69" s="1"/>
  <c r="O258" i="69"/>
  <c r="L258" i="69" s="1"/>
  <c r="G258" i="69"/>
  <c r="O257" i="69"/>
  <c r="L257" i="69" s="1"/>
  <c r="O256" i="69"/>
  <c r="L256" i="69" s="1"/>
  <c r="O255" i="69"/>
  <c r="L255" i="69" s="1"/>
  <c r="O254" i="69"/>
  <c r="L254" i="69" s="1"/>
  <c r="O253" i="69"/>
  <c r="L253" i="69" s="1"/>
  <c r="G253" i="69"/>
  <c r="O252" i="69"/>
  <c r="L252" i="69" s="1"/>
  <c r="O251" i="69"/>
  <c r="L251" i="69" s="1"/>
  <c r="O250" i="69"/>
  <c r="L250" i="69" s="1"/>
  <c r="O249" i="69"/>
  <c r="L249" i="69" s="1"/>
  <c r="O248" i="69"/>
  <c r="L248" i="69" s="1"/>
  <c r="O247" i="69"/>
  <c r="L247" i="69" s="1"/>
  <c r="O246" i="69"/>
  <c r="L246" i="69" s="1"/>
  <c r="O245" i="69"/>
  <c r="L245" i="69" s="1"/>
  <c r="O244" i="69"/>
  <c r="L244" i="69" s="1"/>
  <c r="O243" i="69"/>
  <c r="L243" i="69" s="1"/>
  <c r="O242" i="69"/>
  <c r="L242" i="69" s="1"/>
  <c r="O241" i="69"/>
  <c r="L241" i="69" s="1"/>
  <c r="O240" i="69"/>
  <c r="L240" i="69" s="1"/>
  <c r="O239" i="69"/>
  <c r="L239" i="69" s="1"/>
  <c r="O238" i="69"/>
  <c r="L238" i="69" s="1"/>
  <c r="O237" i="69"/>
  <c r="L237" i="69" s="1"/>
  <c r="O236" i="69"/>
  <c r="L236" i="69" s="1"/>
  <c r="O235" i="69"/>
  <c r="L235" i="69" s="1"/>
  <c r="G235" i="69"/>
  <c r="O234" i="69"/>
  <c r="L234" i="69" s="1"/>
  <c r="O233" i="69"/>
  <c r="L233" i="69" s="1"/>
  <c r="O232" i="69"/>
  <c r="L232" i="69" s="1"/>
  <c r="O231" i="69"/>
  <c r="L231" i="69" s="1"/>
  <c r="O230" i="69"/>
  <c r="L230" i="69" s="1"/>
  <c r="O229" i="69"/>
  <c r="L229" i="69" s="1"/>
  <c r="G229" i="69"/>
  <c r="O228" i="69"/>
  <c r="L228" i="69" s="1"/>
  <c r="O227" i="69"/>
  <c r="L227" i="69" s="1"/>
  <c r="O226" i="69"/>
  <c r="L226" i="69" s="1"/>
  <c r="O225" i="69"/>
  <c r="L225" i="69" s="1"/>
  <c r="G225" i="69"/>
  <c r="O224" i="69"/>
  <c r="L224" i="69" s="1"/>
  <c r="L265" i="69" l="1"/>
  <c r="L294" i="69" s="1"/>
  <c r="L223" i="69" l="1"/>
  <c r="O426" i="69" l="1"/>
  <c r="L426" i="69" s="1"/>
  <c r="O425" i="69"/>
  <c r="L425" i="69" s="1"/>
  <c r="O424" i="69"/>
  <c r="L424" i="69" s="1"/>
  <c r="O423" i="69"/>
  <c r="L423" i="69" s="1"/>
  <c r="O422" i="69"/>
  <c r="L422" i="69" s="1"/>
  <c r="O421" i="69"/>
  <c r="L421" i="69" s="1"/>
  <c r="O420" i="69"/>
  <c r="L420" i="69" s="1"/>
  <c r="O419" i="69"/>
  <c r="L419" i="69" s="1"/>
  <c r="O418" i="69"/>
  <c r="L418" i="69" s="1"/>
  <c r="O417" i="69"/>
  <c r="L417" i="69" s="1"/>
  <c r="O416" i="69"/>
  <c r="L416" i="69" s="1"/>
  <c r="L428" i="69" l="1"/>
  <c r="O518" i="69"/>
  <c r="L518" i="69" s="1"/>
  <c r="O517" i="69"/>
  <c r="L517" i="69" s="1"/>
  <c r="O516" i="69"/>
  <c r="L516" i="69" s="1"/>
  <c r="O515" i="69"/>
  <c r="L515" i="69" s="1"/>
  <c r="O514" i="69"/>
  <c r="L514" i="69" s="1"/>
  <c r="O513" i="69"/>
  <c r="L513" i="69" s="1"/>
  <c r="O512" i="69"/>
  <c r="L512" i="69" s="1"/>
  <c r="O511" i="69"/>
  <c r="L511" i="69" s="1"/>
  <c r="O510" i="69"/>
  <c r="L510" i="69" s="1"/>
  <c r="O509" i="69"/>
  <c r="L509" i="69" s="1"/>
  <c r="O508" i="69"/>
  <c r="L508" i="69" s="1"/>
  <c r="O507" i="69"/>
  <c r="L507" i="69" s="1"/>
  <c r="O506" i="69"/>
  <c r="L506" i="69" s="1"/>
  <c r="O505" i="69"/>
  <c r="L505" i="69" s="1"/>
  <c r="O504" i="69"/>
  <c r="L504" i="69" s="1"/>
  <c r="O503" i="69"/>
  <c r="L503" i="69" s="1"/>
  <c r="O502" i="69"/>
  <c r="L502" i="69" s="1"/>
  <c r="O501" i="69"/>
  <c r="L501" i="69" s="1"/>
  <c r="O500" i="69"/>
  <c r="L500" i="69" s="1"/>
  <c r="O499" i="69"/>
  <c r="L499" i="69" s="1"/>
  <c r="O498" i="69"/>
  <c r="L498" i="69" s="1"/>
  <c r="G498" i="69"/>
  <c r="O497" i="69"/>
  <c r="L497" i="69" s="1"/>
  <c r="G497" i="69"/>
  <c r="O496" i="69"/>
  <c r="L496" i="69" s="1"/>
  <c r="G496" i="69"/>
  <c r="O495" i="69"/>
  <c r="L495" i="69" s="1"/>
  <c r="G495" i="69"/>
  <c r="O494" i="69"/>
  <c r="L494" i="69" s="1"/>
  <c r="G494" i="69"/>
  <c r="O493" i="69"/>
  <c r="L493" i="69" s="1"/>
  <c r="O492" i="69"/>
  <c r="L492" i="69" s="1"/>
  <c r="O491" i="69"/>
  <c r="L491" i="69" s="1"/>
  <c r="O490" i="69"/>
  <c r="O489" i="69"/>
  <c r="L489" i="69" s="1"/>
  <c r="G489" i="69"/>
  <c r="O488" i="69"/>
  <c r="L488" i="69" s="1"/>
  <c r="O487" i="69"/>
  <c r="L487" i="69" s="1"/>
  <c r="O486" i="69"/>
  <c r="L486" i="69" s="1"/>
  <c r="G486" i="69"/>
  <c r="O485" i="69"/>
  <c r="L485" i="69" s="1"/>
  <c r="O484" i="69"/>
  <c r="L484" i="69" s="1"/>
  <c r="G484" i="69"/>
  <c r="O483" i="69"/>
  <c r="L483" i="69" s="1"/>
  <c r="G483" i="69"/>
  <c r="O482" i="69"/>
  <c r="L482" i="69" s="1"/>
  <c r="G482" i="69"/>
  <c r="O481" i="69"/>
  <c r="L481" i="69" s="1"/>
  <c r="G481" i="69"/>
  <c r="O480" i="69"/>
  <c r="L480" i="69" s="1"/>
  <c r="G480" i="69"/>
  <c r="O479" i="69"/>
  <c r="L479" i="69" s="1"/>
  <c r="O478" i="69"/>
  <c r="L478" i="69" s="1"/>
  <c r="O477" i="69"/>
  <c r="L477" i="69" s="1"/>
  <c r="G477" i="69"/>
  <c r="P476" i="69"/>
  <c r="N476" i="69"/>
  <c r="O475" i="69"/>
  <c r="K475" i="69"/>
  <c r="K520" i="69" s="1"/>
  <c r="K551" i="69" s="1"/>
  <c r="G475" i="69"/>
  <c r="O474" i="69"/>
  <c r="L474" i="69" s="1"/>
  <c r="O473" i="69"/>
  <c r="L473" i="69" s="1"/>
  <c r="G473" i="69"/>
  <c r="O472" i="69"/>
  <c r="G472" i="69"/>
  <c r="O471" i="69"/>
  <c r="L471" i="69" s="1"/>
  <c r="G471" i="69"/>
  <c r="O470" i="69"/>
  <c r="L470" i="69" s="1"/>
  <c r="O469" i="69"/>
  <c r="L469" i="69" s="1"/>
  <c r="G469" i="69"/>
  <c r="O468" i="69"/>
  <c r="L468" i="69" s="1"/>
  <c r="O467" i="69"/>
  <c r="L467" i="69" s="1"/>
  <c r="G467" i="69"/>
  <c r="O466" i="69"/>
  <c r="L466" i="69" s="1"/>
  <c r="G466" i="69"/>
  <c r="O465" i="69"/>
  <c r="L465" i="69" s="1"/>
  <c r="G465" i="69"/>
  <c r="O464" i="69"/>
  <c r="L464" i="69" s="1"/>
  <c r="G464" i="69"/>
  <c r="O463" i="69"/>
  <c r="L463" i="69" s="1"/>
  <c r="O462" i="69"/>
  <c r="L462" i="69" s="1"/>
  <c r="G462" i="69"/>
  <c r="O461" i="69"/>
  <c r="L461" i="69" s="1"/>
  <c r="O460" i="69"/>
  <c r="L460" i="69" s="1"/>
  <c r="O459" i="69"/>
  <c r="L459" i="69" s="1"/>
  <c r="G459" i="69"/>
  <c r="O458" i="69"/>
  <c r="L458" i="69" s="1"/>
  <c r="G458" i="69"/>
  <c r="O457" i="69"/>
  <c r="L457" i="69" s="1"/>
  <c r="G457" i="69"/>
  <c r="O456" i="69"/>
  <c r="L456" i="69" s="1"/>
  <c r="G456" i="69"/>
  <c r="O455" i="69"/>
  <c r="L455" i="69" s="1"/>
  <c r="O454" i="69"/>
  <c r="L454" i="69" s="1"/>
  <c r="G454" i="69"/>
  <c r="O453" i="69"/>
  <c r="L453" i="69" s="1"/>
  <c r="O452" i="69"/>
  <c r="L452" i="69" s="1"/>
  <c r="O476" i="69" l="1"/>
  <c r="L476" i="69" s="1"/>
  <c r="N520" i="69"/>
  <c r="L475" i="69"/>
  <c r="L520" i="69" l="1"/>
  <c r="O438" i="69"/>
  <c r="L438" i="69" s="1"/>
  <c r="O437" i="69"/>
  <c r="L437" i="69" s="1"/>
  <c r="O436" i="69"/>
  <c r="L436" i="69" s="1"/>
  <c r="O435" i="69"/>
  <c r="L435" i="69" s="1"/>
  <c r="O434" i="69"/>
  <c r="L434" i="69" s="1"/>
  <c r="O433" i="69"/>
  <c r="L433" i="69" s="1"/>
  <c r="G432" i="69"/>
  <c r="L440" i="69" l="1"/>
  <c r="O544" i="69" l="1"/>
  <c r="L544" i="69" s="1"/>
  <c r="O543" i="69"/>
  <c r="L543" i="69" s="1"/>
  <c r="O542" i="69"/>
  <c r="L542" i="69" s="1"/>
  <c r="O541" i="69"/>
  <c r="L541" i="69" s="1"/>
  <c r="O540" i="69"/>
  <c r="L540" i="69" s="1"/>
  <c r="O539" i="69"/>
  <c r="L539" i="69" s="1"/>
  <c r="O538" i="69"/>
  <c r="L538" i="69" s="1"/>
  <c r="O537" i="69"/>
  <c r="L537" i="69" s="1"/>
  <c r="O536" i="69"/>
  <c r="L536" i="69" s="1"/>
  <c r="O535" i="69"/>
  <c r="L535" i="69" s="1"/>
  <c r="O534" i="69"/>
  <c r="L534" i="69" s="1"/>
  <c r="O533" i="69"/>
  <c r="L533" i="69" s="1"/>
  <c r="O532" i="69"/>
  <c r="L532" i="69" s="1"/>
  <c r="O531" i="69"/>
  <c r="L531" i="69" s="1"/>
  <c r="O530" i="69"/>
  <c r="L530" i="69" s="1"/>
  <c r="N529" i="69"/>
  <c r="G529" i="69"/>
  <c r="O528" i="69"/>
  <c r="L528" i="69" s="1"/>
  <c r="O527" i="69"/>
  <c r="L527" i="69" s="1"/>
  <c r="O526" i="69"/>
  <c r="L526" i="69" s="1"/>
  <c r="O525" i="69"/>
  <c r="L525" i="69" s="1"/>
  <c r="O529" i="69" l="1"/>
  <c r="L529" i="69" s="1"/>
  <c r="L546" i="69" s="1"/>
  <c r="N546" i="69"/>
  <c r="N551" i="69" s="1"/>
  <c r="I551" i="69"/>
  <c r="Q522" i="69"/>
  <c r="O522" i="69"/>
  <c r="L522" i="69" s="1"/>
  <c r="Q521" i="69"/>
  <c r="O521" i="69"/>
  <c r="L521" i="69" s="1"/>
  <c r="L524" i="69" l="1"/>
  <c r="O443" i="69"/>
  <c r="L443" i="69" s="1"/>
  <c r="O442" i="69"/>
  <c r="L442" i="69" s="1"/>
  <c r="O441" i="69"/>
  <c r="L441" i="69" s="1"/>
  <c r="L445" i="69" l="1"/>
  <c r="W428" i="69"/>
  <c r="O429" i="69"/>
  <c r="Y550" i="69"/>
  <c r="X550" i="69"/>
  <c r="W550" i="69"/>
  <c r="V550" i="69"/>
  <c r="U550" i="69"/>
  <c r="T550" i="69"/>
  <c r="S550" i="69"/>
  <c r="R550" i="69"/>
  <c r="Q550" i="69"/>
  <c r="P550" i="69"/>
  <c r="Y546" i="69"/>
  <c r="X546" i="69"/>
  <c r="W546" i="69"/>
  <c r="V546" i="69"/>
  <c r="U546" i="69"/>
  <c r="T546" i="69"/>
  <c r="S546" i="69"/>
  <c r="R546" i="69"/>
  <c r="Q546" i="69"/>
  <c r="P546" i="69"/>
  <c r="Y524" i="69"/>
  <c r="X524" i="69"/>
  <c r="W524" i="69"/>
  <c r="V524" i="69"/>
  <c r="U524" i="69"/>
  <c r="T524" i="69"/>
  <c r="S524" i="69"/>
  <c r="R524" i="69"/>
  <c r="Q524" i="69"/>
  <c r="P524" i="69"/>
  <c r="W520" i="69"/>
  <c r="V520" i="69"/>
  <c r="T520" i="69"/>
  <c r="S520" i="69"/>
  <c r="R520" i="69"/>
  <c r="Q520" i="69"/>
  <c r="P520" i="69"/>
  <c r="Y451" i="69"/>
  <c r="X451" i="69"/>
  <c r="W451" i="69"/>
  <c r="V451" i="69"/>
  <c r="U451" i="69"/>
  <c r="T451" i="69"/>
  <c r="S451" i="69"/>
  <c r="R451" i="69"/>
  <c r="Q451" i="69"/>
  <c r="P451" i="69"/>
  <c r="Y445" i="69"/>
  <c r="X445" i="69"/>
  <c r="W445" i="69"/>
  <c r="V445" i="69"/>
  <c r="U445" i="69"/>
  <c r="T445" i="69"/>
  <c r="S445" i="69"/>
  <c r="R445" i="69"/>
  <c r="Q445" i="69"/>
  <c r="P445" i="69"/>
  <c r="Y440" i="69"/>
  <c r="X440" i="69"/>
  <c r="W440" i="69"/>
  <c r="V440" i="69"/>
  <c r="U440" i="69"/>
  <c r="T440" i="69"/>
  <c r="S440" i="69"/>
  <c r="R440" i="69"/>
  <c r="Q440" i="69"/>
  <c r="P440" i="69"/>
  <c r="Y431" i="69"/>
  <c r="X431" i="69"/>
  <c r="W431" i="69"/>
  <c r="V431" i="69"/>
  <c r="U431" i="69"/>
  <c r="T431" i="69"/>
  <c r="S431" i="69"/>
  <c r="R431" i="69"/>
  <c r="Q431" i="69"/>
  <c r="P431" i="69"/>
  <c r="Y428" i="69"/>
  <c r="X428" i="69"/>
  <c r="V428" i="69"/>
  <c r="U428" i="69"/>
  <c r="T428" i="69"/>
  <c r="S428" i="69"/>
  <c r="R428" i="69"/>
  <c r="Q428" i="69"/>
  <c r="P428" i="69"/>
  <c r="Y294" i="69"/>
  <c r="X294" i="69"/>
  <c r="W294" i="69"/>
  <c r="V294" i="69"/>
  <c r="U294" i="69"/>
  <c r="T294" i="69"/>
  <c r="S294" i="69"/>
  <c r="R294" i="69"/>
  <c r="Q294" i="69"/>
  <c r="P294" i="69"/>
  <c r="Y223" i="69"/>
  <c r="V223" i="69"/>
  <c r="T223" i="69"/>
  <c r="R223" i="69"/>
  <c r="W223" i="69"/>
  <c r="O428" i="69" l="1"/>
  <c r="O294" i="69"/>
  <c r="O440" i="69"/>
  <c r="O451" i="69"/>
  <c r="O223" i="69"/>
  <c r="O524" i="69"/>
  <c r="O431" i="69"/>
  <c r="O445" i="69"/>
  <c r="O520" i="69"/>
  <c r="O546" i="69"/>
  <c r="W551" i="69"/>
  <c r="T551" i="69"/>
  <c r="R551" i="69"/>
  <c r="V551" i="69"/>
  <c r="D572" i="69"/>
  <c r="D571" i="69" l="1"/>
  <c r="S223" i="69" l="1"/>
  <c r="S551" i="69" s="1"/>
  <c r="Q223" i="69"/>
  <c r="Q551" i="69" s="1"/>
  <c r="Y520" i="69"/>
  <c r="Y551" i="69" s="1"/>
  <c r="X223" i="69" l="1"/>
  <c r="U223" i="69"/>
  <c r="P223" i="69"/>
  <c r="P551" i="69" l="1"/>
  <c r="X520" i="69" l="1"/>
  <c r="X551" i="69" s="1"/>
  <c r="U520" i="69"/>
  <c r="U551" i="69" s="1"/>
  <c r="O550" i="69" l="1"/>
  <c r="O551" i="69" l="1"/>
  <c r="G429" i="69"/>
  <c r="L429" i="69" l="1"/>
  <c r="L431" i="69" s="1"/>
  <c r="L551" i="69" s="1"/>
  <c r="G550" i="69" l="1"/>
  <c r="D570" i="69"/>
  <c r="D569" i="69"/>
  <c r="D568" i="69"/>
  <c r="D567" i="69"/>
  <c r="D574" i="69" l="1"/>
  <c r="F576" i="69"/>
  <c r="D576" i="69" l="1"/>
  <c r="E576" i="69" s="1"/>
  <c r="G546" i="69" l="1"/>
  <c r="G524" i="69"/>
  <c r="G451" i="69"/>
  <c r="G445" i="69"/>
  <c r="G440" i="69"/>
  <c r="G431" i="69"/>
  <c r="G428" i="69"/>
  <c r="G223" i="69" l="1"/>
  <c r="G294" i="69"/>
  <c r="G520" i="69"/>
  <c r="G551" i="69" l="1"/>
</calcChain>
</file>

<file path=xl/sharedStrings.xml><?xml version="1.0" encoding="utf-8"?>
<sst xmlns="http://schemas.openxmlformats.org/spreadsheetml/2006/main" count="7071" uniqueCount="1978">
  <si>
    <t>Číslo akce ADA</t>
  </si>
  <si>
    <t>Název akce</t>
  </si>
  <si>
    <t xml:space="preserve">Celkové náklady </t>
  </si>
  <si>
    <t>Jiné zdroje</t>
  </si>
  <si>
    <t>SK</t>
  </si>
  <si>
    <t xml:space="preserve">Materiální a technické vybavení pracoviště krizového řízení, zajištění komunikačních prostředků a informační podpory pro krizové řízení v kraji </t>
  </si>
  <si>
    <t>PROBÍHÁ VZ</t>
  </si>
  <si>
    <t>Výměna oken v budově KÚ</t>
  </si>
  <si>
    <t>PŘÍPRAVA VZ</t>
  </si>
  <si>
    <t>Investiční software dle konkrétních požadavků odborů</t>
  </si>
  <si>
    <t>REALIZACE</t>
  </si>
  <si>
    <t>Software pro Informační systém KÚ</t>
  </si>
  <si>
    <t>Zvýšení kybernetické bezpečnosti informačního systému KÚ</t>
  </si>
  <si>
    <t>Příprava a zabezpečení staveb silnic II. a III. třídy a drážní stavby pro lehká kolejová vozidla-tramvaje</t>
  </si>
  <si>
    <t>KSÚS</t>
  </si>
  <si>
    <t>IDSK</t>
  </si>
  <si>
    <t>Obec Postřižín - rekonstrukce povrchů komunikací včetně chodníků</t>
  </si>
  <si>
    <t>Gymnázium Říčany, Komenského 1280</t>
  </si>
  <si>
    <t>Střední průmyslová škola stavební a Obchodní akademie, Kladno, Cyrila Boudy 2954</t>
  </si>
  <si>
    <t>Základní škola speciální, Mladá Boleslav, Václavkova 950</t>
  </si>
  <si>
    <t>Střední odborná škola a Střední odborné učiliště, Horky nad Jizerou 35</t>
  </si>
  <si>
    <t>Vyšší odborná škola a Střední zemědělská škola, Benešov, Mendelova 131</t>
  </si>
  <si>
    <t>Základní umělecká škola Josefa Slavíka, Hořovice, Palackého náměstí 253</t>
  </si>
  <si>
    <t>Střední odborná škola a Střední odborné učiliště, Vlašim, Zámek 1</t>
  </si>
  <si>
    <t>BEZ VZ</t>
  </si>
  <si>
    <t>Gymnázium Joachima Barranda, Beroun, Talichova 824</t>
  </si>
  <si>
    <t>Památník národního útlaku a odboje Panenské Břežany - III. etapa zahrada</t>
  </si>
  <si>
    <t>Muzeum Mladoboleslavska</t>
  </si>
  <si>
    <t>Galerie Středočeského kraje</t>
  </si>
  <si>
    <t>Rabasova galerie Rakovník</t>
  </si>
  <si>
    <t>Regionální muzeum v Kolíně</t>
  </si>
  <si>
    <t>Středočeské muzeum v Roztokách u Prahy</t>
  </si>
  <si>
    <t>Památník A. Dvořáka ve Vysoké u Příbrami</t>
  </si>
  <si>
    <t>Sbírkotvorná činnost příspěvkových organizací - rozšiřování sbírek nákupem předmětů</t>
  </si>
  <si>
    <t>Regionální muzeum v Jílovém u Prahy</t>
  </si>
  <si>
    <t>Hornické muzeum Příbram</t>
  </si>
  <si>
    <t>37/2019/KUL</t>
  </si>
  <si>
    <t xml:space="preserve">Výstavba vstupního objektu ve skanzenu Muzea lidových staveb v Kouřimi </t>
  </si>
  <si>
    <t>40/2019/KUL</t>
  </si>
  <si>
    <t>41/2019/KUL</t>
  </si>
  <si>
    <t>Rekonstrukce parku Památníku Antonína Dvořáka</t>
  </si>
  <si>
    <t>ON Kladno, a.s., nem. SČK</t>
  </si>
  <si>
    <t>ON Kolín, a.s., nem. SČK</t>
  </si>
  <si>
    <t>Pořízení zdravotnické technologie pro Pavilon "N" - neproplacené dotace ROP</t>
  </si>
  <si>
    <t>Nem. Rudolfa a Stefanie Benešov, a. s., nem. SČK</t>
  </si>
  <si>
    <t>Železniční zastávky v Hostivici, Chýni, Rudné a Jinočanech - neželezniční části</t>
  </si>
  <si>
    <t>Středočeská centrála cestovního ruchu</t>
  </si>
  <si>
    <t>RDK</t>
  </si>
  <si>
    <t>Domov Sedlčany</t>
  </si>
  <si>
    <t>Domov seniorů Vidim</t>
  </si>
  <si>
    <t>Domov seniorů Benešov</t>
  </si>
  <si>
    <t xml:space="preserve">Rekonstrukce budovy č.2 </t>
  </si>
  <si>
    <t>Domov Hostomice - Zátor</t>
  </si>
  <si>
    <t>Domov seniorů Dobříš</t>
  </si>
  <si>
    <t>Nalžovický zámek</t>
  </si>
  <si>
    <t>Domov seniorů Nové Strašecí</t>
  </si>
  <si>
    <t>Projekt zvyšování bezpečnosti KÚSK</t>
  </si>
  <si>
    <t xml:space="preserve"> </t>
  </si>
  <si>
    <t>akce nově zařazené</t>
  </si>
  <si>
    <t>snížení celkových nákladů na akci</t>
  </si>
  <si>
    <t>akce zrušené, ukončené</t>
  </si>
  <si>
    <t>CELKEM</t>
  </si>
  <si>
    <t>Dětský domov, Unhošť, Berounská 1292</t>
  </si>
  <si>
    <t>Střední odborná škola a Střední odborné učiliště, Kladno, Dubská</t>
  </si>
  <si>
    <t>Sportovní gymnázium, Kladno, Plzeňská 3103</t>
  </si>
  <si>
    <t>Střední odborná škola informatiky a spojů a Střední odborné učiliště, Kolín, Jaselská 826</t>
  </si>
  <si>
    <t>Gymnázium a Střední odborná škola ekonomická, Sedlčany, Nádražní 90</t>
  </si>
  <si>
    <t>III/33420 Molitorov, most ev.č. 33420-1</t>
  </si>
  <si>
    <t>navýšení celkových nákladů na akci</t>
  </si>
  <si>
    <t>Domov Vraný</t>
  </si>
  <si>
    <t>89/2019/DOP</t>
  </si>
  <si>
    <t>102/2019/DOP</t>
  </si>
  <si>
    <t>x</t>
  </si>
  <si>
    <t>průběžně</t>
  </si>
  <si>
    <t>Rozvoj Rabasovy galerie Rakovník, stavební úpravy a dostavba</t>
  </si>
  <si>
    <t>*</t>
  </si>
  <si>
    <t>Realizace fyzicky začala Ano/Ne</t>
  </si>
  <si>
    <t>018-34/2018/RK ze dne 5.11.2018 128-16/2018/ZK ze dne 24.11.2018</t>
  </si>
  <si>
    <t>Průběžně</t>
  </si>
  <si>
    <t>NE</t>
  </si>
  <si>
    <t>ANO</t>
  </si>
  <si>
    <t>ZRUŠENO</t>
  </si>
  <si>
    <t>Koupě zámku v Přerově nad Labem (splátky hodnoty nemovitosti jsou naplánovány na 5 let)</t>
  </si>
  <si>
    <t>UKONČENO</t>
  </si>
  <si>
    <t>.</t>
  </si>
  <si>
    <t>018-34/2018/RK ze dne 5.11.2018 128-16/2018/ZK ze dne 26.11.2018</t>
  </si>
  <si>
    <t>Zřízení vodorovného dopravního značení, bezpečnostní prvky</t>
  </si>
  <si>
    <t>celkem</t>
  </si>
  <si>
    <t>3</t>
  </si>
  <si>
    <t>1</t>
  </si>
  <si>
    <t>2</t>
  </si>
  <si>
    <t>4</t>
  </si>
  <si>
    <t>CELKEM 17 - Odbor sociálních věcí</t>
  </si>
  <si>
    <t>CELKEM 10 - Odbor životního prostředí a zemědělství</t>
  </si>
  <si>
    <t>CELKEM 07 - Odbor zdravotnictví</t>
  </si>
  <si>
    <t>CELKEM 06 - Odbor kultury a památkové péče</t>
  </si>
  <si>
    <t>CELKEM 05 - Odbor školství</t>
  </si>
  <si>
    <t>CELKEM 04 - Odbor dopravy</t>
  </si>
  <si>
    <t>CELKEM 03 - Odbor informatiky</t>
  </si>
  <si>
    <t>Domov Laguna, Psáry</t>
  </si>
  <si>
    <t>vlastní prostředky PO, a.s.</t>
  </si>
  <si>
    <t>prostředky rozpočtu SK kromě kap. 12</t>
  </si>
  <si>
    <t>Střední průmyslová škola, Mladá Boleslav, Havlíčkova 456</t>
  </si>
  <si>
    <t>Středočeská vědecká knihovna v Kladně</t>
  </si>
  <si>
    <t>57/2019/KUL</t>
  </si>
  <si>
    <t xml:space="preserve">Místa pro kontrolu nákladních vozidel </t>
  </si>
  <si>
    <t xml:space="preserve">Přípravné a projekční práce zabezpečení investičních staveb </t>
  </si>
  <si>
    <t>109/2019/DOP</t>
  </si>
  <si>
    <t>113/2019/DOP</t>
  </si>
  <si>
    <t>128/2019/DOP</t>
  </si>
  <si>
    <t>III/1057 komunikace na hrázi Dunávického rybníka</t>
  </si>
  <si>
    <t>Ústav archeologické památkové péče středních Čech</t>
  </si>
  <si>
    <t>snížení CN o 1 tis. Kč</t>
  </si>
  <si>
    <t>Rekonstrukce sociálních zařízení v budově KÚ</t>
  </si>
  <si>
    <t>Časový horizont změny aktuálního stavu (měsíc /rok)</t>
  </si>
  <si>
    <t>Zařazeno do Zásobníku investic usnesením RK/ZK</t>
  </si>
  <si>
    <t>203/2020/DOP</t>
  </si>
  <si>
    <t>Obnova budov cestmistrovství</t>
  </si>
  <si>
    <t>205/2020/DOP</t>
  </si>
  <si>
    <t>206/2020/DOP</t>
  </si>
  <si>
    <t>207/2020/DOP</t>
  </si>
  <si>
    <t xml:space="preserve"> Lineární směrovací systém (BESIP)</t>
  </si>
  <si>
    <t>215/2020/DOP</t>
  </si>
  <si>
    <t>II/328 Sloveč - Kněžice</t>
  </si>
  <si>
    <t>224/2020/DOP</t>
  </si>
  <si>
    <t>Dopravní značení - omezení tranzitní dopravy</t>
  </si>
  <si>
    <t>Domov Seniorů Vojkov</t>
  </si>
  <si>
    <t>Domov u Anežky Luštěnice</t>
  </si>
  <si>
    <t>048-24/2019/RK ze dne  29.7.2019 088-20/2019/ZK ze dne 26.8.2019</t>
  </si>
  <si>
    <t>Instalace a oprava svodidel u silnic II. a III.tříd</t>
  </si>
  <si>
    <t>67/2020/KUL</t>
  </si>
  <si>
    <t>151/2020/SKOL</t>
  </si>
  <si>
    <t>Středočeský portál služeb</t>
  </si>
  <si>
    <t>2/2020/ŘDP</t>
  </si>
  <si>
    <t>Aktuální stav (Příprava VZ, Probíhá VZ, Realizace, Finanční vypořádání, Ukončeno,  Zrušeno)</t>
  </si>
  <si>
    <t>Rekonstrukce podatelny KÚ - část pro veřejnost</t>
  </si>
  <si>
    <t>71/2020/KUL</t>
  </si>
  <si>
    <t>025-13/2020/RK ze dne 30.3.2020 115-24/2020/ZK ze dne 1.6.2020</t>
  </si>
  <si>
    <t>mimo rozpočet SK</t>
  </si>
  <si>
    <t>142/2020/ZDR</t>
  </si>
  <si>
    <t>Rekonstrukce objektu SO 03, pavilon "O"</t>
  </si>
  <si>
    <t>ON Příbram, a. s.</t>
  </si>
  <si>
    <t>137/2020/SOC</t>
  </si>
  <si>
    <t>Domov seniorů Jenštejn</t>
  </si>
  <si>
    <t>Rozšíření kapacity Domova seniorů Jenštejn</t>
  </si>
  <si>
    <t>138/2020/SOC</t>
  </si>
  <si>
    <t>Rozšíření objektu Domov u Anežky Luštenice</t>
  </si>
  <si>
    <t>II/322 Týnec nad Labem, most ev.č.322-005-oprava mostu v režimu "vyprojektuj a postav" ve smyslu Žluté knihy FIDIC</t>
  </si>
  <si>
    <t>254/2020/DOP</t>
  </si>
  <si>
    <t>úvěr EIB</t>
  </si>
  <si>
    <t>Výkup pozemků (včetně pod stávající sítí) - silniční síť</t>
  </si>
  <si>
    <t>FINANČNÍ VYPOŘÁDÁNÍ</t>
  </si>
  <si>
    <t>040-84/2020/RK ze dne 26.11.2020 021-2/2020/ZK ze dne 14.12.2020</t>
  </si>
  <si>
    <t>76/2021/KUL</t>
  </si>
  <si>
    <t>Hornický domek v areálu Ševčinské štoly</t>
  </si>
  <si>
    <t>12/2024</t>
  </si>
  <si>
    <t>256/2021/DOP</t>
  </si>
  <si>
    <t>III/1114 Líšno, svah a část vozovky</t>
  </si>
  <si>
    <t>Pozn. - číselné hodnoty finančních prostředků jsou ukládány s přesností na haléře, pro přehlednost jsou zobrazovány zaokrouhleně na celé tis. Kč.</t>
  </si>
  <si>
    <t>Rámcová smlouva, podněty PČR, připraveny návrhy zlepšení BESIP</t>
  </si>
  <si>
    <t>CELKEM 26 - Odbor veřejné mobility</t>
  </si>
  <si>
    <t>CELKEM 25 - Odbor bezpečnosti a krizového řízení</t>
  </si>
  <si>
    <t xml:space="preserve"> Kap. 12    celkem             </t>
  </si>
  <si>
    <t>CELKEM 08 - Oddělení regionálního rozvoje</t>
  </si>
  <si>
    <t xml:space="preserve">PD + Rekonstrukce osvětlení  - veřejné prostory KÚ </t>
  </si>
  <si>
    <t>ORP</t>
  </si>
  <si>
    <t>Mladá Boleslav</t>
  </si>
  <si>
    <t>Černošice</t>
  </si>
  <si>
    <t>Sedlčany</t>
  </si>
  <si>
    <t>Říčany</t>
  </si>
  <si>
    <t>Neratovice</t>
  </si>
  <si>
    <t>Benešov</t>
  </si>
  <si>
    <t>Kutná Hora</t>
  </si>
  <si>
    <t>Nymburk</t>
  </si>
  <si>
    <t>Beroun</t>
  </si>
  <si>
    <t>Kolín</t>
  </si>
  <si>
    <t>Slaný</t>
  </si>
  <si>
    <t>Mnichovo Hradiště</t>
  </si>
  <si>
    <t>Rakovník</t>
  </si>
  <si>
    <t>Poděbrady</t>
  </si>
  <si>
    <t>Kladno</t>
  </si>
  <si>
    <t>Příbram</t>
  </si>
  <si>
    <t>Český Brod</t>
  </si>
  <si>
    <t>Mělník</t>
  </si>
  <si>
    <t>Dobříš</t>
  </si>
  <si>
    <t>Vlašim</t>
  </si>
  <si>
    <t>Hořovice</t>
  </si>
  <si>
    <t>Votice</t>
  </si>
  <si>
    <t>Nákup a obnova výpočetní techniky a zařízení</t>
  </si>
  <si>
    <t>Pořízení nových kopírovacích strojů pro KÚ</t>
  </si>
  <si>
    <t>Výměna garážových vrat na KÚ</t>
  </si>
  <si>
    <t>Chytrý úřad - elektronický vnitřní informační systém KÚ</t>
  </si>
  <si>
    <t>180/2021/SKOL</t>
  </si>
  <si>
    <t>Základní škola, Brandýs nad Labem - Stará Boleslav, příspěvková organizace</t>
  </si>
  <si>
    <t>182/2021/SKOL</t>
  </si>
  <si>
    <t>184/2021/SKOL</t>
  </si>
  <si>
    <t>259/2021/DOP</t>
  </si>
  <si>
    <t>III/11816 Jelence</t>
  </si>
  <si>
    <t>82/2021/KUL</t>
  </si>
  <si>
    <t>Oblastní muzeum Praha - východ</t>
  </si>
  <si>
    <t>83/2021/KUL</t>
  </si>
  <si>
    <t>Nový objekt základní školy speciální - Mladá Boleslav</t>
  </si>
  <si>
    <t>Nová budova ZŠ - Brandýs nad Labem</t>
  </si>
  <si>
    <t>Hotelová škola Poděbrady, příspěvková organizace</t>
  </si>
  <si>
    <t>Modernizace školních kuchyněk - HŠ Poděbrady</t>
  </si>
  <si>
    <t>1/2011/INF</t>
  </si>
  <si>
    <t>3/2013/INF</t>
  </si>
  <si>
    <t>6/2018/INF</t>
  </si>
  <si>
    <t>9/2018/INF</t>
  </si>
  <si>
    <t>10/2018/INF</t>
  </si>
  <si>
    <t>1/2013/DOP</t>
  </si>
  <si>
    <t>2/2006/DOP</t>
  </si>
  <si>
    <t>35/2018/DOP</t>
  </si>
  <si>
    <t>18/2017/SKOL</t>
  </si>
  <si>
    <t>31/2018/SKOL</t>
  </si>
  <si>
    <t>66/2018/SKOL</t>
  </si>
  <si>
    <t>1/2011/KUL</t>
  </si>
  <si>
    <t>20/2018/KUL</t>
  </si>
  <si>
    <t>32/2018/KUL</t>
  </si>
  <si>
    <t>4/2015/ZDR</t>
  </si>
  <si>
    <t>1/2014/REG</t>
  </si>
  <si>
    <t>12/2017/SOC</t>
  </si>
  <si>
    <t>1/2018/OBŘ</t>
  </si>
  <si>
    <t>2/2016/OBŘ</t>
  </si>
  <si>
    <t>č. inv. akce</t>
  </si>
  <si>
    <t>z toho EIB</t>
  </si>
  <si>
    <t xml:space="preserve">Legenda </t>
  </si>
  <si>
    <t>Senzorické zabezpečení silnic Středočeského kraje</t>
  </si>
  <si>
    <t>047-42/2021/RK ze dne 11.11.2021 031-11/2021/ZK ze dne 29.11.2021</t>
  </si>
  <si>
    <t>261/2021/DOP</t>
  </si>
  <si>
    <t>Čáslav</t>
  </si>
  <si>
    <t>187/2022/SKOL</t>
  </si>
  <si>
    <t>Gymnázium Hostivice, příspěvková organizace</t>
  </si>
  <si>
    <t>Nástavba budovy Gymnázia Hostivice</t>
  </si>
  <si>
    <t>Rekonstrukce / revitalizace areálu Regionálního muzea v Jílovém u Prahy</t>
  </si>
  <si>
    <t>147/2022/SOC</t>
  </si>
  <si>
    <t>Výstavba nového centrálního muzejního depozitáře pro RM Kolín</t>
  </si>
  <si>
    <t>Polabské muzeum</t>
  </si>
  <si>
    <t>Adaptace expozičních objektů pro veřejnost "Hrabalova chata"</t>
  </si>
  <si>
    <t>87/2022/KUL</t>
  </si>
  <si>
    <t>Centrum 83</t>
  </si>
  <si>
    <t>Kralupy n. Vl.</t>
  </si>
  <si>
    <t>Muzeum Českého krasu</t>
  </si>
  <si>
    <t>90/2022/KUL</t>
  </si>
  <si>
    <t>Akce EPC II - energetické úspory Středočeského kraje - soubor objektů č. 7</t>
  </si>
  <si>
    <t>Akce EPC II - energetické úspory Středočeského kraje - soubor objektů č. 8</t>
  </si>
  <si>
    <t>Akce EPC II - energetické úspory Středočeského kraje - soubor objektů č. 9</t>
  </si>
  <si>
    <t>Akce EPC II - energetické úspory Středočeského kraje - soubor objektů č. 10</t>
  </si>
  <si>
    <t>Akce EPC II - energetické úspory Středočeského kraje - soubor objektů č. 11</t>
  </si>
  <si>
    <t>Domov Buda</t>
  </si>
  <si>
    <t>Domov Unhošť</t>
  </si>
  <si>
    <t>162/2022/SOC</t>
  </si>
  <si>
    <t>Centrum Rožmitál</t>
  </si>
  <si>
    <t>9/2022/OVM</t>
  </si>
  <si>
    <t>Cyklostezka Koloděje  – Sibřina (po místní komunikaci)</t>
  </si>
  <si>
    <t>Výstavba úložných prostor a výměna střešní krytiny a oplechování Arnoldinovského domu</t>
  </si>
  <si>
    <t>97/2022/KUL</t>
  </si>
  <si>
    <t>Aktualizace serverového a IT vybavení poboček Hornického muzea v Příbrami</t>
  </si>
  <si>
    <t>České muzeum stříbra</t>
  </si>
  <si>
    <t>Muzeum T.G.M. Rakovník</t>
  </si>
  <si>
    <t>Rozšíření expozičního prostoru Brandýsské katovny</t>
  </si>
  <si>
    <t>Regionální muzeum Mělník</t>
  </si>
  <si>
    <t>280/2021/DOP</t>
  </si>
  <si>
    <t>II/328, III/3279 a III/3287 Jestřabí Lhota</t>
  </si>
  <si>
    <t>285/2021/DOP</t>
  </si>
  <si>
    <t>II/272 Benátky nad Jizerou, připojení na silnici III/27212</t>
  </si>
  <si>
    <t>ON Mladá Boleslav, a. s., nem. SČK</t>
  </si>
  <si>
    <t>302/2021/DOP</t>
  </si>
  <si>
    <t>BESIP-III/27944 Žerčice, úprava vjezdu do obce</t>
  </si>
  <si>
    <t>311/2021/DOP</t>
  </si>
  <si>
    <t>190/2022/SKOL</t>
  </si>
  <si>
    <t>Střední odborné učiliště, Hubálov 17</t>
  </si>
  <si>
    <t>2/2022/OZP</t>
  </si>
  <si>
    <t>Projektová a inženýrská příprava Vodovodního přivaděče D3 do fáze projektové dokumentace do stadia získání stavebního povolení</t>
  </si>
  <si>
    <t>3/2022/OZP</t>
  </si>
  <si>
    <t>Projektová a inženýrská příprava na Vyvolaná opatření na Posázavském vodovodu</t>
  </si>
  <si>
    <t>4/2022/OZP</t>
  </si>
  <si>
    <t>Projektová a inženýrská příprava na Vyvolaná opatření na vodovodu Javorník - Benešov</t>
  </si>
  <si>
    <t>11/2022/OVM</t>
  </si>
  <si>
    <t>VDZ pro cyklistickou dopravu</t>
  </si>
  <si>
    <t>Benešov, Sedlčany, Votice</t>
  </si>
  <si>
    <t>Domov Pod Lipami Smečno</t>
  </si>
  <si>
    <t>179/2022/SOC</t>
  </si>
  <si>
    <t>Rekonstrukce ohradní zdi domova</t>
  </si>
  <si>
    <t>Památník Karla Čapka ve Staré Huti u Dobříše</t>
  </si>
  <si>
    <t>1/2011/OHS</t>
  </si>
  <si>
    <t>2/2011/OHS</t>
  </si>
  <si>
    <t>3/2015/OHS</t>
  </si>
  <si>
    <t>11/2019/OHS</t>
  </si>
  <si>
    <t>15/2020/OHS</t>
  </si>
  <si>
    <t>16/2020/OHS</t>
  </si>
  <si>
    <t>20/2021/OHS</t>
  </si>
  <si>
    <t>22/2021/OHS</t>
  </si>
  <si>
    <t>24/2021/OHS</t>
  </si>
  <si>
    <t>CELKEM 02 - Odbor hospodářské správy</t>
  </si>
  <si>
    <t>CELKEM 11 - Odbor majetku</t>
  </si>
  <si>
    <t>01911</t>
  </si>
  <si>
    <t>01513</t>
  </si>
  <si>
    <t>03151</t>
  </si>
  <si>
    <t>06071</t>
  </si>
  <si>
    <t>07083</t>
  </si>
  <si>
    <t>06860</t>
  </si>
  <si>
    <t>01514</t>
  </si>
  <si>
    <t>02821</t>
  </si>
  <si>
    <t>04971</t>
  </si>
  <si>
    <t>05482</t>
  </si>
  <si>
    <t>05549</t>
  </si>
  <si>
    <t>00120</t>
  </si>
  <si>
    <t>00121</t>
  </si>
  <si>
    <t>06044</t>
  </si>
  <si>
    <t>06290</t>
  </si>
  <si>
    <t>05940</t>
  </si>
  <si>
    <t>06720</t>
  </si>
  <si>
    <t>06828</t>
  </si>
  <si>
    <t>06218</t>
  </si>
  <si>
    <t>07103</t>
  </si>
  <si>
    <t>06903</t>
  </si>
  <si>
    <t>04848</t>
  </si>
  <si>
    <t>04063</t>
  </si>
  <si>
    <t>04988</t>
  </si>
  <si>
    <t>06985</t>
  </si>
  <si>
    <t>07108</t>
  </si>
  <si>
    <t>06981</t>
  </si>
  <si>
    <t>01913</t>
  </si>
  <si>
    <t>05086</t>
  </si>
  <si>
    <t>05464</t>
  </si>
  <si>
    <t>05560</t>
  </si>
  <si>
    <t>05563</t>
  </si>
  <si>
    <t>05564</t>
  </si>
  <si>
    <t>05876</t>
  </si>
  <si>
    <t>06944</t>
  </si>
  <si>
    <t>06706</t>
  </si>
  <si>
    <t>06710</t>
  </si>
  <si>
    <t>07170</t>
  </si>
  <si>
    <t>07105</t>
  </si>
  <si>
    <t>07153</t>
  </si>
  <si>
    <t>01500</t>
  </si>
  <si>
    <t>06414</t>
  </si>
  <si>
    <t>02348</t>
  </si>
  <si>
    <t>07112</t>
  </si>
  <si>
    <t>07113</t>
  </si>
  <si>
    <t>07114</t>
  </si>
  <si>
    <t>04634</t>
  </si>
  <si>
    <t>04724</t>
  </si>
  <si>
    <t>03475</t>
  </si>
  <si>
    <t>06961</t>
  </si>
  <si>
    <t>06958</t>
  </si>
  <si>
    <t>06959</t>
  </si>
  <si>
    <t>06960</t>
  </si>
  <si>
    <t>06962</t>
  </si>
  <si>
    <t>07188</t>
  </si>
  <si>
    <t>06722</t>
  </si>
  <si>
    <t>07193</t>
  </si>
  <si>
    <t>Modernizace zasedacích a technických místností</t>
  </si>
  <si>
    <t xml:space="preserve"> Revitalizace plášťů budov včetně balkońů a technického vybavení Domova seniorů Sedlčany</t>
  </si>
  <si>
    <t>191/2023/SOC</t>
  </si>
  <si>
    <t xml:space="preserve">Rekonstrukce historické pavlače </t>
  </si>
  <si>
    <t>195/2023/SOC</t>
  </si>
  <si>
    <t>Vybudování EPS</t>
  </si>
  <si>
    <t>196/2023/SOC</t>
  </si>
  <si>
    <t>Domov Iváň</t>
  </si>
  <si>
    <t>Dovybaveni EPS k zapojení na CP</t>
  </si>
  <si>
    <t>197/2023/SOC</t>
  </si>
  <si>
    <t>Domov Krajánek</t>
  </si>
  <si>
    <t xml:space="preserve">Rekonstrukce EPS </t>
  </si>
  <si>
    <t>198/2023/SOC</t>
  </si>
  <si>
    <t>Vybudování EPS včetně PBŘ</t>
  </si>
  <si>
    <t>199/2023/SOC</t>
  </si>
  <si>
    <t>Domov Mladá</t>
  </si>
  <si>
    <t>200/2023/SOC</t>
  </si>
  <si>
    <t>Elektronická požární signalizace a nouzový zvukový systém Domov Sedlčany</t>
  </si>
  <si>
    <t>Červený mlýn Všestudy</t>
  </si>
  <si>
    <t xml:space="preserve">Domov Velvary </t>
  </si>
  <si>
    <t>Domov Velvary</t>
  </si>
  <si>
    <t>314/2023/DOP</t>
  </si>
  <si>
    <t>Silnice II/120 Dobrošovice – rekonstrukce opěrné zdi</t>
  </si>
  <si>
    <t>320/2023/DOP</t>
  </si>
  <si>
    <t>III/00325 Jažlovice</t>
  </si>
  <si>
    <t>07302</t>
  </si>
  <si>
    <t>07242</t>
  </si>
  <si>
    <t>194/2023/SKOL</t>
  </si>
  <si>
    <t>sloučené, rozdělené akce, změna názvu akce, změna financování, změna způsobu financování, převod do jiného odboru, změna realizátora</t>
  </si>
  <si>
    <t>12/2025</t>
  </si>
  <si>
    <t>Rozvoj informačního centra keltské kultury - 3 významná sídliště – oppida Závist, Stradonice a Hrazany</t>
  </si>
  <si>
    <t>snížení CN o 12 tis. Kč</t>
  </si>
  <si>
    <t>125/2023/KUL</t>
  </si>
  <si>
    <t>126/2023/KUL</t>
  </si>
  <si>
    <t>Demontáž a převoz sýpky z Bakova nad Jizerou do MLS Kouřim</t>
  </si>
  <si>
    <t>Praha</t>
  </si>
  <si>
    <t>137/2023/KUL</t>
  </si>
  <si>
    <t>Obnova naučné stezky Karla Čapka</t>
  </si>
  <si>
    <t>142/2023/KUL</t>
  </si>
  <si>
    <t>EPS a EZS Muzea na pracovištích v Mladé Boleslavi a v Bělé p. B.</t>
  </si>
  <si>
    <t xml:space="preserve">Gymnázium, Příbram, Legionářů 402 </t>
  </si>
  <si>
    <t>oranžově podbarveno (celý řádek) + poznámka (komentář k důvodu zařazení nové akce)</t>
  </si>
  <si>
    <t>modré písmo (celý řádek) + poznámka</t>
  </si>
  <si>
    <t>písmo škrtnuto (celý řádek)</t>
  </si>
  <si>
    <t>zeleně podbarveno (celý řádek) + poznámka</t>
  </si>
  <si>
    <t>CELKEM 09 - Odbor řízení dotačních projektů</t>
  </si>
  <si>
    <t>06918</t>
  </si>
  <si>
    <t>Obměna vozového parku KÚ</t>
  </si>
  <si>
    <t>7/2022/ŘDP</t>
  </si>
  <si>
    <t>8/2023/ŘDP</t>
  </si>
  <si>
    <t>06327</t>
  </si>
  <si>
    <t>z toho vlastní zdroje SK</t>
  </si>
  <si>
    <t>Rekonstrukce historického hospodářského stavení a revitalizace zahrady v Dolní Krupé</t>
  </si>
  <si>
    <t>Modernizace a rekonstrukce vstupu do Polabského národopisného muzea v Přerově nad Labem</t>
  </si>
  <si>
    <t>Obnova střechy objektu na rychtě z Bradlecké Lhoty a pecí v chalupě z Budče a statku z Týřovic v areálu Muzea lidových staveb v Kouřimi</t>
  </si>
  <si>
    <t>145/2023/KUL</t>
  </si>
  <si>
    <t>6/2025</t>
  </si>
  <si>
    <t>154/2023/KUL</t>
  </si>
  <si>
    <t>Pořízení nového dodávkového vozidla pro areál Hornického skanzenu na Březových Horách</t>
  </si>
  <si>
    <t>155/2023/KUL</t>
  </si>
  <si>
    <t>Pořízení nového osobního vozidla pro areál Památníku Vojna</t>
  </si>
  <si>
    <t>158/2023/KUL</t>
  </si>
  <si>
    <t>Úprava bastionu pro komerční skladování a podporu enologie</t>
  </si>
  <si>
    <t>159/2023/KUL</t>
  </si>
  <si>
    <t>Zahrady GASK – hygienické zázemí pro konzumaci „to-go“</t>
  </si>
  <si>
    <t>162/2023/KUL</t>
  </si>
  <si>
    <t>Vybudování nové pokladny a zázemí pro návštěvníky včetně bezbariérového přístupu v Muzeu Rakovník</t>
  </si>
  <si>
    <t>07340</t>
  </si>
  <si>
    <t>Nástavba budovy Gymnázia Příbram - PD</t>
  </si>
  <si>
    <t>196/2023/SKOL</t>
  </si>
  <si>
    <t>Stavební úpravy stávající učebny a půdní vestavba nových učeben Gymnázia Říčany - PD</t>
  </si>
  <si>
    <t>197/2023/SKOL</t>
  </si>
  <si>
    <t>Vybudování venkovního sportoviště - SOŠ informatiky a spojů a SOU , Kolín</t>
  </si>
  <si>
    <t>199/2023/SKOL</t>
  </si>
  <si>
    <t>200/2023/SKOL</t>
  </si>
  <si>
    <t>Tělocvična pro Gymnázium Joachima Barranda - PD</t>
  </si>
  <si>
    <t>III/32914 Kostelní Lhota-Pečky</t>
  </si>
  <si>
    <t>333/2023/DOP</t>
  </si>
  <si>
    <t>III/00324 Otice-Všechromy</t>
  </si>
  <si>
    <t>334/2023/DOP</t>
  </si>
  <si>
    <t>335/2023/DOP</t>
  </si>
  <si>
    <t>III/27522 a III/27950 Rožďalovice, Nový chodník v ul. Tyršova  a zvýšení bezpečnosti v ul. Boleslavská a ul. Tyršova Rožďalovice</t>
  </si>
  <si>
    <t>336/2023/DOP</t>
  </si>
  <si>
    <t>II/275 Zábrdovice Dymokury</t>
  </si>
  <si>
    <t>202/2023/SOC</t>
  </si>
  <si>
    <t>Vybudování nové EPS v objektu Zámku a Kláštera Domova Rožďalovice</t>
  </si>
  <si>
    <t>Domov Rožďalovice</t>
  </si>
  <si>
    <t>Připojení EPS na pult centrální ochrany</t>
  </si>
  <si>
    <t>204/2023/SOC</t>
  </si>
  <si>
    <t>Domov Barbora Kutná Hora</t>
  </si>
  <si>
    <t>206/2023/SOC</t>
  </si>
  <si>
    <t>207/2023/SOC</t>
  </si>
  <si>
    <t>Rekonstrukce střechy Koniklec  Suchomasty</t>
  </si>
  <si>
    <t>Domov Koniklec Suchomasty</t>
  </si>
  <si>
    <t>05622</t>
  </si>
  <si>
    <t>8/2025</t>
  </si>
  <si>
    <t>8/2026</t>
  </si>
  <si>
    <t>12/2026</t>
  </si>
  <si>
    <t>15/2023/OVM</t>
  </si>
  <si>
    <t>Informační cedule k zahájení staveb</t>
  </si>
  <si>
    <t>3/2022/ŘDP</t>
  </si>
  <si>
    <t>4/2022/ŘDP</t>
  </si>
  <si>
    <t>5/2022/ŘDP</t>
  </si>
  <si>
    <t>155/2023/ZDR</t>
  </si>
  <si>
    <t>163/2023/ZDR</t>
  </si>
  <si>
    <t>Stavební úpravy vjezdu do nemocnice</t>
  </si>
  <si>
    <t>164/2023/ZDR</t>
  </si>
  <si>
    <t>Ústavní kuchyně a jídelna</t>
  </si>
  <si>
    <t>165/2023/ZDR</t>
  </si>
  <si>
    <t>165/2023/KUL</t>
  </si>
  <si>
    <t>Kompletní rekonstrukce počítačové sítě včetně zabezpečení, zálohování  a archivace dat, cloudové řešení</t>
  </si>
  <si>
    <t>166/2023/KUL</t>
  </si>
  <si>
    <t>Sládečkovo vlastivědné muzeum v Kladně</t>
  </si>
  <si>
    <t>Nákup osobního automobilu</t>
  </si>
  <si>
    <t>Domov seniorů Vojkov</t>
  </si>
  <si>
    <t>210/2023/SOC</t>
  </si>
  <si>
    <t>Zelená lípa Hostivice</t>
  </si>
  <si>
    <t>215/2023/SOC</t>
  </si>
  <si>
    <t>Napojení objektu na pult HZS</t>
  </si>
  <si>
    <t>07379</t>
  </si>
  <si>
    <t>338/2023/DOP</t>
  </si>
  <si>
    <t>341/2023/DOP</t>
  </si>
  <si>
    <t>II/101 Vrapická, havárie odvodnění</t>
  </si>
  <si>
    <t>342/2023/DOP</t>
  </si>
  <si>
    <t>III/2018 Žilina - Kamenné Žehrovice</t>
  </si>
  <si>
    <t>343/2023/DOP</t>
  </si>
  <si>
    <t>II/121 Sedlec průtah</t>
  </si>
  <si>
    <t>Odborné učebny pro instalatéry SOU Hubálov</t>
  </si>
  <si>
    <t>07414</t>
  </si>
  <si>
    <t>07389</t>
  </si>
  <si>
    <t>07393</t>
  </si>
  <si>
    <t>07416</t>
  </si>
  <si>
    <t>201/2023/SKOL</t>
  </si>
  <si>
    <t>Obchodní akademie, Vlašim, V sadě 1565</t>
  </si>
  <si>
    <t>202/2023/SKOL</t>
  </si>
  <si>
    <t>Přístavba kmenových tříd Gymnázium  Joachima Barranda Beroun</t>
  </si>
  <si>
    <t>203/2023/SKOL</t>
  </si>
  <si>
    <t>Půdní vestavba - SOŠ a SOU Jílové u Prahy</t>
  </si>
  <si>
    <t>Střední odborná škola a Střední odborné učiliště Jílové u Prahy, Šenflukova 220</t>
  </si>
  <si>
    <t>204/2023/SKOL</t>
  </si>
  <si>
    <t>Cukrářská dílna - SŠ a ZŠ Jesenice</t>
  </si>
  <si>
    <t>206/2023/SKOL</t>
  </si>
  <si>
    <t>Výstavba budovy pro nové Gymnázium Černošice</t>
  </si>
  <si>
    <t>Gymnázium Černošice</t>
  </si>
  <si>
    <t>5/2025</t>
  </si>
  <si>
    <t>177/2023/KUL</t>
  </si>
  <si>
    <t>Nová plynová kotelna, výměna oken, energetické úspory</t>
  </si>
  <si>
    <t>179/2023/KUL</t>
  </si>
  <si>
    <t>Výměna oken a zateplení budovy depozitáře</t>
  </si>
  <si>
    <t>180/2023/KUL</t>
  </si>
  <si>
    <t>Hospodářské zázemí a konzervátorské pracoviště Kounice</t>
  </si>
  <si>
    <t>06058</t>
  </si>
  <si>
    <t>07460</t>
  </si>
  <si>
    <t>07312</t>
  </si>
  <si>
    <t>07427</t>
  </si>
  <si>
    <t>07547</t>
  </si>
  <si>
    <t>048-23/2023/RK ze dne 8.6.2023       15-26/2023/ZK ze dne 26.6.2023</t>
  </si>
  <si>
    <t>07428</t>
  </si>
  <si>
    <t>07429</t>
  </si>
  <si>
    <t>07430</t>
  </si>
  <si>
    <t>209/2023/SKOL</t>
  </si>
  <si>
    <t>07538</t>
  </si>
  <si>
    <t>Multifunkční dopravní cvičiště - SOŠ a SOU Mladá Boleslav, Jičínská</t>
  </si>
  <si>
    <t>Střední odborná škola a Střední odborné učiliště, Mladá Boleslav, Jičínská 762</t>
  </si>
  <si>
    <t>210/2023/SKOL</t>
  </si>
  <si>
    <t>07539</t>
  </si>
  <si>
    <t>Přestavba domova mládeže na učebny - ISŠT Mělník</t>
  </si>
  <si>
    <t>Integrovaná střední škola technická Mělník, příspěvková organizace</t>
  </si>
  <si>
    <t>211/2023/SKOL</t>
  </si>
  <si>
    <t>07540</t>
  </si>
  <si>
    <t>Zázemí pro ZŠ - OU, PrŠ, ZŠ a MŠ Příbram</t>
  </si>
  <si>
    <t>Odborné učiliště, Praktická škola, Základní škola a Mateřská škola Příbram IV, příspěvková organizace</t>
  </si>
  <si>
    <t xml:space="preserve">Výstavba evakuačního výtahu s nástupnickou plochou </t>
  </si>
  <si>
    <t>220/2023/SOC</t>
  </si>
  <si>
    <t>Rekonstrukce stávajícího výtahu na evakuační</t>
  </si>
  <si>
    <t>4/2025</t>
  </si>
  <si>
    <t>344/2023/DOP</t>
  </si>
  <si>
    <t>III/10522 Sedlčany, most ev.č. 10522-1 přes potok Mastník</t>
  </si>
  <si>
    <t>345/2023/DOP</t>
  </si>
  <si>
    <t>Čelákovice obchvat</t>
  </si>
  <si>
    <t>10/2025</t>
  </si>
  <si>
    <t>347/2023/DOP</t>
  </si>
  <si>
    <t>348/2023/DOP</t>
  </si>
  <si>
    <t>349/2023/DOP</t>
  </si>
  <si>
    <t>II/108 Kostelec</t>
  </si>
  <si>
    <t>07470</t>
  </si>
  <si>
    <t>Rekonstrukce ČOV a sanace venkovní kanalizace</t>
  </si>
  <si>
    <t>07328</t>
  </si>
  <si>
    <t>07553</t>
  </si>
  <si>
    <t>Dobříš, Vlašim, Sedlčany, Příbram</t>
  </si>
  <si>
    <t>2/2023/MAJ</t>
  </si>
  <si>
    <t>Demolice pro potřeby SOC a ŠKS</t>
  </si>
  <si>
    <t>3/2023/MAJ</t>
  </si>
  <si>
    <t>Doplatek za areál školy Na Příkopech 104, Příbram</t>
  </si>
  <si>
    <t>Renovace expozice "Zlato"</t>
  </si>
  <si>
    <t>Diagnostika a stavebně-technický průzkum budov hlavního sídla muzea</t>
  </si>
  <si>
    <t>183/2023/KUL</t>
  </si>
  <si>
    <t>Hrad, krajina a lidé, stálá expozice</t>
  </si>
  <si>
    <t>184/2023/KUL</t>
  </si>
  <si>
    <t>Uranový důl Bytíz</t>
  </si>
  <si>
    <t>186/2023/KUL</t>
  </si>
  <si>
    <t>Modernizace zdrojů tepla (přechod z plynových kotlů na tepelná čerpadla) a výstavba FTV elektrárny do 50 kwp</t>
  </si>
  <si>
    <t>188/2023/KUL</t>
  </si>
  <si>
    <t>Instalace elektronické požární signalizace - palác Hrádek</t>
  </si>
  <si>
    <t>189/2023/KUL</t>
  </si>
  <si>
    <t>Instalace elektronické požární signalizace měšťanský dvojdům tzv. Kamenný dům</t>
  </si>
  <si>
    <t>191/2023/KUL</t>
  </si>
  <si>
    <t>Brandýs n. L. - Stará Boleslav</t>
  </si>
  <si>
    <t>07549</t>
  </si>
  <si>
    <t>07567</t>
  </si>
  <si>
    <t>Zvýšení kybernetické bezpečnosti pro PO</t>
  </si>
  <si>
    <t>Prostředky na zvýšení kybernetické bezpečnosti příspěvkových organizací.</t>
  </si>
  <si>
    <t>28/2023/INF</t>
  </si>
  <si>
    <t>212/2023/SKOL</t>
  </si>
  <si>
    <t>Gymnázium J. S. Machara, Brandýs nad Labem - Stará Boleslav, Královická 668</t>
  </si>
  <si>
    <t>213/2023/SKOL</t>
  </si>
  <si>
    <t>Základní škola, Žebrák, Hradní 67</t>
  </si>
  <si>
    <t xml:space="preserve">Bezbariérový vstup a přístavba výtahu Centrum83 </t>
  </si>
  <si>
    <t>225/2023/SOC</t>
  </si>
  <si>
    <t>DS Vidim - EPS</t>
  </si>
  <si>
    <t>226/2023/SOC</t>
  </si>
  <si>
    <t>Nákup automobilu se speciální úpravou pro přepravu invalidů s doprovodem</t>
  </si>
  <si>
    <t>Rekonstrukce fasád objektů DOZP a TS v areálu DPL Smečno</t>
  </si>
  <si>
    <t>227/2023/SOC</t>
  </si>
  <si>
    <t>07587</t>
  </si>
  <si>
    <t>II/611 Kostelní Lhota - Přední Lhota</t>
  </si>
  <si>
    <t>III/1016 Kunice</t>
  </si>
  <si>
    <t>III/12537 Zásmuky - Sobočice</t>
  </si>
  <si>
    <t>III/12523 Petrovice II. – Boštice III/12525</t>
  </si>
  <si>
    <t>II/329 Radim</t>
  </si>
  <si>
    <t>III/11217 Keblov – odb. Kačerov  </t>
  </si>
  <si>
    <t>II/107 Kamenice – Čakovice </t>
  </si>
  <si>
    <t>III/12145 Nazdice – Bučovice     </t>
  </si>
  <si>
    <t>III/2421 Velké Přílepy</t>
  </si>
  <si>
    <t>III/11625, III/11627 Mníšek p. Brdy-Zahořany</t>
  </si>
  <si>
    <t xml:space="preserve">III/27610 Studénka - Násedlnice </t>
  </si>
  <si>
    <t>III/26828 Dolní Krupá - Bělá pod Bezdězem</t>
  </si>
  <si>
    <t>ulice Víta Nejedlého – stavební úpravy uličního prostoru</t>
  </si>
  <si>
    <t>12/2028</t>
  </si>
  <si>
    <t>198/2023/KUL</t>
  </si>
  <si>
    <t>Elektronická evidence docházky a elektronický přístupový systém</t>
  </si>
  <si>
    <t>201/2023/KUL</t>
  </si>
  <si>
    <t xml:space="preserve"> Nová webová prezentace Středočeské vědecké knihovny</t>
  </si>
  <si>
    <t>203/2023/KUL</t>
  </si>
  <si>
    <t>Orientační systém – areál zahrad a okolí JK</t>
  </si>
  <si>
    <t>204/2023/KUL</t>
  </si>
  <si>
    <t>Rekonstrukce venkovní terasy u kavárny včetně osvětlení</t>
  </si>
  <si>
    <t>211/2023/KUL</t>
  </si>
  <si>
    <t>Výstavní systém svítidel na půdě zámku</t>
  </si>
  <si>
    <t>213/2023/KUL</t>
  </si>
  <si>
    <t>Dodávka nového radionuklidového zářiče do KOP</t>
  </si>
  <si>
    <t>214/2023/KUL</t>
  </si>
  <si>
    <t>217/2023/KUL</t>
  </si>
  <si>
    <t>Realizace nového ústředního topení v depozitáři Kralupy nad Vltavou</t>
  </si>
  <si>
    <t>221/2023/KUL</t>
  </si>
  <si>
    <t>222/2023/KUL</t>
  </si>
  <si>
    <t>Výsuvné rošty na obrazy pro depozitář Cihlářská 445, Sedlec</t>
  </si>
  <si>
    <t>viz soubor objektů</t>
  </si>
  <si>
    <t>351/2023/DOP</t>
  </si>
  <si>
    <t>352/2023/DOP</t>
  </si>
  <si>
    <t>353/2023/DOP</t>
  </si>
  <si>
    <t>355/2023/DOP</t>
  </si>
  <si>
    <t>356/2023/DOP</t>
  </si>
  <si>
    <t>361/2023/DOP</t>
  </si>
  <si>
    <t>364/2023/DOP</t>
  </si>
  <si>
    <t>365/2023/DOP</t>
  </si>
  <si>
    <t>368/2023/DOP</t>
  </si>
  <si>
    <t>375/2023/DOP</t>
  </si>
  <si>
    <t>378/2023/DOP</t>
  </si>
  <si>
    <t>379/2023/DOP</t>
  </si>
  <si>
    <t>384/2023/DOP</t>
  </si>
  <si>
    <t>386/2023/DOP</t>
  </si>
  <si>
    <t>389/2023/DOP</t>
  </si>
  <si>
    <t>390/2023/DOP</t>
  </si>
  <si>
    <t>07583</t>
  </si>
  <si>
    <t>04167</t>
  </si>
  <si>
    <t>07623</t>
  </si>
  <si>
    <t>07621</t>
  </si>
  <si>
    <t>07628</t>
  </si>
  <si>
    <t>07629</t>
  </si>
  <si>
    <t>07659</t>
  </si>
  <si>
    <t>07618</t>
  </si>
  <si>
    <t>07614</t>
  </si>
  <si>
    <t>07674</t>
  </si>
  <si>
    <t>07687</t>
  </si>
  <si>
    <t>07680</t>
  </si>
  <si>
    <t>07696</t>
  </si>
  <si>
    <t>07699</t>
  </si>
  <si>
    <t>07693</t>
  </si>
  <si>
    <t>07695</t>
  </si>
  <si>
    <t>07613</t>
  </si>
  <si>
    <t>07619</t>
  </si>
  <si>
    <t>07666</t>
  </si>
  <si>
    <t>žádný</t>
  </si>
  <si>
    <t>SC 4.2</t>
  </si>
  <si>
    <t>SC 4.1</t>
  </si>
  <si>
    <t>SC 3.2</t>
  </si>
  <si>
    <t>SC 10.2</t>
  </si>
  <si>
    <t>SC 10.1, SC 2.1, SC 10.2</t>
  </si>
  <si>
    <t>SC 10.1, SC 2.1</t>
  </si>
  <si>
    <t>SC 10.2, SC 2.1</t>
  </si>
  <si>
    <t>SC 9.3</t>
  </si>
  <si>
    <t>SC 5.1</t>
  </si>
  <si>
    <t>SC 7.1</t>
  </si>
  <si>
    <t>SC 8.2</t>
  </si>
  <si>
    <t>Specifický cíl SRK</t>
  </si>
  <si>
    <t>6.2</t>
  </si>
  <si>
    <t>27/2024/OHS</t>
  </si>
  <si>
    <t>Upgrade telefonní ústředny a následné rozšíření jejich funkcionalit</t>
  </si>
  <si>
    <t>28/2024/OHS</t>
  </si>
  <si>
    <t>Výměna střešního pláště včetně zateplení a světlíků na garážích KÚ</t>
  </si>
  <si>
    <t>29/2024/OHS</t>
  </si>
  <si>
    <t>Rekonstrukce osvětlení Zasedací místnosti zastupitelstva, m.č. 1088 a RK - LED technologie</t>
  </si>
  <si>
    <t>17/2024/OVM</t>
  </si>
  <si>
    <t xml:space="preserve">IDSK – SW a HW pro provoz IS část II </t>
  </si>
  <si>
    <t>18/2024/OVM</t>
  </si>
  <si>
    <t>IDSK – Pořízení, implementace a podpora SW pro Asset Management a Service Desk</t>
  </si>
  <si>
    <t>07701</t>
  </si>
  <si>
    <t>07705</t>
  </si>
  <si>
    <t>snížení CN o 29 tis. Kč</t>
  </si>
  <si>
    <t>07706</t>
  </si>
  <si>
    <t>07707</t>
  </si>
  <si>
    <t>07708</t>
  </si>
  <si>
    <t>07382</t>
  </si>
  <si>
    <t>3/2025</t>
  </si>
  <si>
    <t>07710</t>
  </si>
  <si>
    <t>07711</t>
  </si>
  <si>
    <t>07712</t>
  </si>
  <si>
    <t>07713</t>
  </si>
  <si>
    <t>07716</t>
  </si>
  <si>
    <t>07718</t>
  </si>
  <si>
    <t>07722</t>
  </si>
  <si>
    <t>07725</t>
  </si>
  <si>
    <t>07726</t>
  </si>
  <si>
    <t>07727</t>
  </si>
  <si>
    <t>228/2024/SOC</t>
  </si>
  <si>
    <t>Přestavba objektu na bydlení pro klienty DOZP</t>
  </si>
  <si>
    <t>Zahrada</t>
  </si>
  <si>
    <t>229/2024/SOC</t>
  </si>
  <si>
    <t>Vybudování EPS včetně stavebních úprav Domov ve Vlašimi</t>
  </si>
  <si>
    <t>Domov ve Vlašimi</t>
  </si>
  <si>
    <t>231/2024/SOC</t>
  </si>
  <si>
    <t>Elektrická požární signalizace – EPS  – Automatické požární dveře</t>
  </si>
  <si>
    <t>233/2024/SOC</t>
  </si>
  <si>
    <t>Vybudování EPS v Domově Jílové</t>
  </si>
  <si>
    <t>Domov Jílové</t>
  </si>
  <si>
    <t>234/2024/SOC</t>
  </si>
  <si>
    <t>Signalizace pracovník - klient v Domově Jílové</t>
  </si>
  <si>
    <t>235/2024/SOC</t>
  </si>
  <si>
    <t xml:space="preserve">PBŘ – Nalžovický zámek </t>
  </si>
  <si>
    <t>236/2024/SOC</t>
  </si>
  <si>
    <t>Úpravy v DS v souladu se zákonem o požární ochraně</t>
  </si>
  <si>
    <t>Domov seniorů Jankov</t>
  </si>
  <si>
    <t>237/2024/SOC</t>
  </si>
  <si>
    <t>Výměna oken budovy č.p. 40</t>
  </si>
  <si>
    <t xml:space="preserve"> Domov seniorů Vojkov</t>
  </si>
  <si>
    <t>31/2024/OHS</t>
  </si>
  <si>
    <t>Rekonstrukce zasedací místnosti 1088</t>
  </si>
  <si>
    <t>1/2025</t>
  </si>
  <si>
    <t>Revitalizace obvodového pláště školy OA Vlašim</t>
  </si>
  <si>
    <t>07692</t>
  </si>
  <si>
    <t>215/2024/SKOL</t>
  </si>
  <si>
    <t>Žádný</t>
  </si>
  <si>
    <t>216/2024/SKOL</t>
  </si>
  <si>
    <t>Střední průmyslová škola a Vyšší odborná škola Příbram Hrabákova 271</t>
  </si>
  <si>
    <t>172/2024/ZDR</t>
  </si>
  <si>
    <t>225/2024/KUL</t>
  </si>
  <si>
    <t>Rozšíření lištového systému osvětlení ve Velké výstavní síni</t>
  </si>
  <si>
    <t>228/2024/KUL</t>
  </si>
  <si>
    <t>229/2024/KUL</t>
  </si>
  <si>
    <t>Nová vizuální  identita Středočeského muzea v Roztokách u Prahy, příspěvkové organizace</t>
  </si>
  <si>
    <t>233/2024/KUL</t>
  </si>
  <si>
    <t>Nákup a instalace nových bezpečnostních dveří do depozitáře v Jestřábí Lhotě</t>
  </si>
  <si>
    <t>237/2024/KUL</t>
  </si>
  <si>
    <t>Posuvný regálový systém</t>
  </si>
  <si>
    <t>240/2024/KUL</t>
  </si>
  <si>
    <t>241/2024/KUL</t>
  </si>
  <si>
    <t>242/2024/KUL</t>
  </si>
  <si>
    <t>Revitalizace pláště budovy Arnoldinovského domu v Brandýse nad Labem</t>
  </si>
  <si>
    <t>Památník Josefa Lady a jeho dcery Aleny vytvoření autonomního muzea</t>
  </si>
  <si>
    <t>245/2024/KUL</t>
  </si>
  <si>
    <t>Expozice v Muzeu v Brandýse nad Labem</t>
  </si>
  <si>
    <t>9/2026</t>
  </si>
  <si>
    <t>8/2027</t>
  </si>
  <si>
    <t>II/322 Kolín, ul. Třídvorská, okružní křižovatka</t>
  </si>
  <si>
    <t>Okružní křižovatka sil. II/101 ulic Mostní s Třídou Legií a ulicí Třebízského v Kralupech nad Vltavou</t>
  </si>
  <si>
    <t>II/101 Červený Újezd</t>
  </si>
  <si>
    <t>II/118 Lochovice-Libomyšl</t>
  </si>
  <si>
    <t>III/1171 0 Bavoryně, havárie opěrné zdi</t>
  </si>
  <si>
    <t>Vypracování PD na rekonstrukci objektu C, včetně její přístavby (kavárna a pokladna)  a pro optimalizaci prostoru objektu D (vestavba patra)</t>
  </si>
  <si>
    <t>Investice do depozitního objektu</t>
  </si>
  <si>
    <t>modře podbarvená buňka s č. inv. akce</t>
  </si>
  <si>
    <t>akce odboru SOC - investice do EZS</t>
  </si>
  <si>
    <t>Podněty PČR, připraveny návrhy zlepšení BESIP.</t>
  </si>
  <si>
    <t>9/2025</t>
  </si>
  <si>
    <t>Přestavba propustku na silnici III/11818, km 9,984</t>
  </si>
  <si>
    <t>III/12513, 12511 Rataje, Zdislavice</t>
  </si>
  <si>
    <t xml:space="preserve">II/244 Byšice, most ev.č. 244-011 přes Košátecký potok v obci Byšice </t>
  </si>
  <si>
    <t xml:space="preserve">Most ev.č. 12144-2-Most přes trať ČD za Meznem (Střezimíř) – demolice </t>
  </si>
  <si>
    <t>III/1012 a III/1015 Všestary, rekonstrukce silnice</t>
  </si>
  <si>
    <t>07740</t>
  </si>
  <si>
    <t>247/2024/KUL</t>
  </si>
  <si>
    <t>248/2024/KUL</t>
  </si>
  <si>
    <t>Venkovní samoobslužný návratový automat s třídící linkou</t>
  </si>
  <si>
    <t>249/2024/KUL</t>
  </si>
  <si>
    <t>Rekonstrukce topných zdrojů</t>
  </si>
  <si>
    <t>250/2024/KUL</t>
  </si>
  <si>
    <t>Nákup a instalace záložního serveru</t>
  </si>
  <si>
    <t>251/2024/KUL</t>
  </si>
  <si>
    <t>Vytvoření edukačního prvku - animace vzniku a vývoje jeskyně Českého krasu</t>
  </si>
  <si>
    <t>252/2024/KUL</t>
  </si>
  <si>
    <t>Kamerový systém CCTV v Hornického skanzenu Mayrau ve Vinařicích</t>
  </si>
  <si>
    <t>253/2024/KUL</t>
  </si>
  <si>
    <t>Rekonstrukce kabelového kanálu Mayrau</t>
  </si>
  <si>
    <t>254/2024/KUL</t>
  </si>
  <si>
    <t>Zaměření a kontrola nosných ocelových konstrukcí</t>
  </si>
  <si>
    <t>255/2024/KUL</t>
  </si>
  <si>
    <t>Zaměření a výkresová dokumentace podzemního objektu Homole</t>
  </si>
  <si>
    <t>256/2024/KUL</t>
  </si>
  <si>
    <t>Zhotovení nové fasády, výplně okenních a vstupních otvorů a nového schodiště na věži v areálu tvrze v Hradeníně</t>
  </si>
  <si>
    <t>257/2024/KUL</t>
  </si>
  <si>
    <t>258/2024/KUL</t>
  </si>
  <si>
    <t>Rekonstrukce kanceláři v Hrusicích</t>
  </si>
  <si>
    <t>259/2024/KUL</t>
  </si>
  <si>
    <t>Rekonstrukce kanceláři v AD</t>
  </si>
  <si>
    <t>260/2024/KUL</t>
  </si>
  <si>
    <t>Rekonstrukce kanceláři v Panenských Břežanech</t>
  </si>
  <si>
    <t>262/2024/KUL</t>
  </si>
  <si>
    <t>Nové podlahy v domě Mince</t>
  </si>
  <si>
    <t>263/2024/KUL</t>
  </si>
  <si>
    <t>Tvorba marketingových videí a vizualizací vzniku zlatého kovu pro použití na web, sociální sítě a propagaci muzea</t>
  </si>
  <si>
    <t>264/2024/KUL</t>
  </si>
  <si>
    <t>Rekonstrukci vodovodu, WC a koupelny v budově Mince</t>
  </si>
  <si>
    <t>266/2024/KUL</t>
  </si>
  <si>
    <t>Nové webové stránky muzea</t>
  </si>
  <si>
    <t>267/2024/KUL</t>
  </si>
  <si>
    <t>268/2024/KUL</t>
  </si>
  <si>
    <t>Nové expozice v prostorách Pražské a Vysoké brány</t>
  </si>
  <si>
    <t>270/2024/KUL</t>
  </si>
  <si>
    <t>271/2024/KUL</t>
  </si>
  <si>
    <t>Upgrade a modernizace databázového systému pro evidenci sbírek</t>
  </si>
  <si>
    <t>272/2024/KUL</t>
  </si>
  <si>
    <t>Vybudování nové expozice Muzea Rakovník včetně architektonické studie</t>
  </si>
  <si>
    <t>273/2024/KUL</t>
  </si>
  <si>
    <t>Vytvoření nových internetových stránek Muzea T. G. M. Rakovník, p.o.</t>
  </si>
  <si>
    <t>274/2024/KUL</t>
  </si>
  <si>
    <t>Prokůpkův dům, Kouřim</t>
  </si>
  <si>
    <t>275/2024/KUL</t>
  </si>
  <si>
    <t>Rekonstrukce, modernizace a zatraktivnění hlavního sídla Muzea Českého krasu, areálu památkově chráněných budov Jenštejnského a Salátovského domu Husovo nám. 87 a 88 Beroun</t>
  </si>
  <si>
    <t>Komplexní rekonstrukce kanalizace v celém areálu školy -VOŠ a SZŠ Benešov</t>
  </si>
  <si>
    <t>Rekonstrukce kuchyně-SPŠ a OA Kladno</t>
  </si>
  <si>
    <t>07776</t>
  </si>
  <si>
    <t>07777</t>
  </si>
  <si>
    <t>217/2024/SKOL</t>
  </si>
  <si>
    <t>Masarykova obchodní akademie, Rakovník, Pražská 1222</t>
  </si>
  <si>
    <t xml:space="preserve">Rakovník </t>
  </si>
  <si>
    <t>218/2024/SKOL</t>
  </si>
  <si>
    <t>Střední průmyslová škola a Vyšší odborná škola, Kladno, Jana Palacha 1840</t>
  </si>
  <si>
    <t>219/2024/SKOL</t>
  </si>
  <si>
    <t>Střední škola designu Lysá nad Labem, příspěvková organizace</t>
  </si>
  <si>
    <t>221/2024/SKOL</t>
  </si>
  <si>
    <t>223/2024/SKOL</t>
  </si>
  <si>
    <t>Rekonstrukce 3. NP objektu ZŠ Čáslav na učební prostory SOŠPg Čáslav</t>
  </si>
  <si>
    <t>Gymnázium a Střední odborná škola pedagogická, Čáslav, Masarykova 248</t>
  </si>
  <si>
    <t>224/2024/SKOL</t>
  </si>
  <si>
    <t>Modernizace objektu farmy Pomněnice - PD</t>
  </si>
  <si>
    <t>225/2024/SKOL</t>
  </si>
  <si>
    <t>Přestavba půdních prostor na učebny - SOŠ a SOU Horky nad Jizerou</t>
  </si>
  <si>
    <t>226/2024/SKOL</t>
  </si>
  <si>
    <t>Rekonstrukce školní kuchyně - G Příbram</t>
  </si>
  <si>
    <t>228/2024/SKOL</t>
  </si>
  <si>
    <t xml:space="preserve"> Nákladního vozidlo pro výuku - SOŠ a SOU Mladá Boleslav</t>
  </si>
  <si>
    <t>229/2024/SKOL</t>
  </si>
  <si>
    <t>Střední zemědělská škola, Čáslav, Sadová 1234</t>
  </si>
  <si>
    <t>230/2024/SKOL</t>
  </si>
  <si>
    <t>Devítimístný automobil - SOU Městec Králové</t>
  </si>
  <si>
    <t>Střední odborná škola a Střední odborné učiliště, Městec Králové, T. G. Masaryka 4</t>
  </si>
  <si>
    <t>231/2024/SKOL</t>
  </si>
  <si>
    <t>Univerzální nakladač - středisko Poděbrady</t>
  </si>
  <si>
    <t>Školní statek Středočeského kraje, příspěvková organizace</t>
  </si>
  <si>
    <t>232/2024/SKOL</t>
  </si>
  <si>
    <t>Univerzální nakladač - středisko Rakovník</t>
  </si>
  <si>
    <t>233/2024/SKOL</t>
  </si>
  <si>
    <t>237/2024/SKOL</t>
  </si>
  <si>
    <t>Nákladní automobil - VOŠ a SZŠ Benešov</t>
  </si>
  <si>
    <t>238/2024/SKOL</t>
  </si>
  <si>
    <t>Dva nové automobily do autoškoly - VOŠ a SZŠ Benešov</t>
  </si>
  <si>
    <t>239/2024/SKOL</t>
  </si>
  <si>
    <t>Kombajn - VOŠ a SZŠ Benešov</t>
  </si>
  <si>
    <t>07780</t>
  </si>
  <si>
    <t>177/2024/ZDR</t>
  </si>
  <si>
    <t>183/2024/ZDR</t>
  </si>
  <si>
    <t>Rekonstrukce pavilonu L</t>
  </si>
  <si>
    <t>Jiné zdroje = SFŽP</t>
  </si>
  <si>
    <t>052-06/2024/RK ze dne 8.2.2024  009-31/2024/ZK ze dne 26.2.2024</t>
  </si>
  <si>
    <t>238/2024/SOC</t>
  </si>
  <si>
    <t>242/2024/SOC</t>
  </si>
  <si>
    <t xml:space="preserve">PBŘ - Rekonstrukce výtahů v objektu kláštera </t>
  </si>
  <si>
    <t>244/2024/SOC</t>
  </si>
  <si>
    <t>Výstavba evakuačního výtahu</t>
  </si>
  <si>
    <t>Rekonstrukce Památníku Antonína Dvořáka ve Vysoké u Příbrami 2024</t>
  </si>
  <si>
    <t xml:space="preserve">Požárně bezpečnostní řešení </t>
  </si>
  <si>
    <t>Lis na kulaté balíky - středisko Lázně Toušeň</t>
  </si>
  <si>
    <t>07499</t>
  </si>
  <si>
    <t>07640</t>
  </si>
  <si>
    <t>07678</t>
  </si>
  <si>
    <t>32/2024/OHS</t>
  </si>
  <si>
    <t>Modernizace gastro technologie v jídelně KÚ</t>
  </si>
  <si>
    <t>022-37/2022/RK ze dne 6.10.2022 070-42/2022/RK ze dne 10.11.2022 020-20/2022/ZK ze dne 28.11.2022</t>
  </si>
  <si>
    <t>07797</t>
  </si>
  <si>
    <t>SC 78.2</t>
  </si>
  <si>
    <t>246/2024/SOC</t>
  </si>
  <si>
    <t>Revitalizace kuchyně - vybavení a chlazení</t>
  </si>
  <si>
    <t>247/2024/SOC</t>
  </si>
  <si>
    <t>Rekonstrukce nákl. výtahu a dodání schodišťové plošiny</t>
  </si>
  <si>
    <t>III/1138, III/1139, II/113 Tismice, Vrátkov, Doubravčice</t>
  </si>
  <si>
    <t>III/0066, 00711, 00716 Hřebeč, rekonstrukce silnic - II. etapa</t>
  </si>
  <si>
    <t>III/0056, III/00513, III/00514, III/00518 – opatření ke zvýšení bezpečnosti v místech křižovatek</t>
  </si>
  <si>
    <t>9/2024/ŘDP</t>
  </si>
  <si>
    <t>EPC IV - realizace energetických opatření v rámci Středočeského kraje</t>
  </si>
  <si>
    <t>07871</t>
  </si>
  <si>
    <t>III/00315, III/10113 Radlík - Kostelec u Křížků, II.etapa</t>
  </si>
  <si>
    <t>Vybudování samostatného vjezdu a příjezdové cesty - DD Unhošť</t>
  </si>
  <si>
    <t>Zateplení budovy školy a střechy - G a SOŠE - Sedlčany</t>
  </si>
  <si>
    <t>Rekonstrukce výtahu - MOA Rakovník</t>
  </si>
  <si>
    <t>Výměna oken v hlavní budově - SPŠ a VOŠ Kladno</t>
  </si>
  <si>
    <t>Vybudování požární nádrže - SŠ designu Lysá nad Labem</t>
  </si>
  <si>
    <t>Technologie stáčení a expedice vína - Školní statek SK</t>
  </si>
  <si>
    <t>277/2024/KUL</t>
  </si>
  <si>
    <t>Havířská osada prostor pro kulturní a vzdělávací programy</t>
  </si>
  <si>
    <t>278/2024/KUL</t>
  </si>
  <si>
    <t>Odvodnění výstupní šachty prohlídkové trasy v důlním díle</t>
  </si>
  <si>
    <t>279/2024/KUL</t>
  </si>
  <si>
    <t>IT vybavení muzejní herny</t>
  </si>
  <si>
    <t>280/2024/KUL</t>
  </si>
  <si>
    <t>Revitalizace sklepů, parkánu a nádvoří hradu Mladá Boleslav</t>
  </si>
  <si>
    <t>281/2024/KUL</t>
  </si>
  <si>
    <t>Venkov v proměnách času, rehabilitace stálé expozice</t>
  </si>
  <si>
    <t>Rozšíření funkcí leteckého muzea Metoděje Vlacha v Mladé Boleslavi</t>
  </si>
  <si>
    <t>282/2024/KUL</t>
  </si>
  <si>
    <t>Revitalizace Památníku Josefa Lady a jeho dcery Aleny</t>
  </si>
  <si>
    <t>283/2024/KUL</t>
  </si>
  <si>
    <t>Vybudování depozitáře v objektu tzv. nové kuchyně v Památníku Vojna</t>
  </si>
  <si>
    <t>284/2024/KUL</t>
  </si>
  <si>
    <t>Obnova firewall k zajištění ochrany dat a osobních údajů v SVK</t>
  </si>
  <si>
    <t>285/2024/KUL</t>
  </si>
  <si>
    <t>Adaptace areálu Středočeské vědecké knihovny v Kladně na živé centrum společenských, kulturních a vzdělávacích aktivit</t>
  </si>
  <si>
    <t>07753</t>
  </si>
  <si>
    <t>07756</t>
  </si>
  <si>
    <t>Dětské centrum Kolín, p. o.</t>
  </si>
  <si>
    <t>190/2024/ZDR</t>
  </si>
  <si>
    <t>Automobil</t>
  </si>
  <si>
    <t>286/2024/KUL</t>
  </si>
  <si>
    <t>036-23/2011/RK ze dne 30.5.2011 043-16/2011/ZK ze dne 6.6.2011</t>
  </si>
  <si>
    <t>07825</t>
  </si>
  <si>
    <t>07851</t>
  </si>
  <si>
    <t>07862</t>
  </si>
  <si>
    <t>07827</t>
  </si>
  <si>
    <t>07828</t>
  </si>
  <si>
    <t>07874</t>
  </si>
  <si>
    <t>29/2024/INF</t>
  </si>
  <si>
    <t>Nové tiskové řešení na krajském úřadě SK</t>
  </si>
  <si>
    <t>33/2024/OHS</t>
  </si>
  <si>
    <t>Záložní zdroje energie UPS 50kVA včetně instalace</t>
  </si>
  <si>
    <t>248/2024/SOC</t>
  </si>
  <si>
    <t>249/2024/SOC</t>
  </si>
  <si>
    <t>Rekonstrukce soklu  - Zámku</t>
  </si>
  <si>
    <t>254/2024/SOC</t>
  </si>
  <si>
    <t>255/2024/SOC</t>
  </si>
  <si>
    <t>Výměna elektrorozvodů a rozvodů SLP Nový Pavilon</t>
  </si>
  <si>
    <t>SC.78.2</t>
  </si>
  <si>
    <t xml:space="preserve">Výměna dveří za protipožární v celém objektu </t>
  </si>
  <si>
    <t>07929</t>
  </si>
  <si>
    <t>07943</t>
  </si>
  <si>
    <t>07949</t>
  </si>
  <si>
    <t>07991</t>
  </si>
  <si>
    <t xml:space="preserve">011-11/2022/RK ze dne 17.3.2022  046-14/2022/RK ze dne 7.4.2022    011-15/2022/ZK ze dne 25.4.2022  009-39/2022/RK ze dne 19.10.2022 </t>
  </si>
  <si>
    <t>Lysá n. L.</t>
  </si>
  <si>
    <t>411/2024/DOP</t>
  </si>
  <si>
    <t>410/2024/DOP</t>
  </si>
  <si>
    <t>409/2024/DOP</t>
  </si>
  <si>
    <t>392/2024/DOP</t>
  </si>
  <si>
    <t>394/2024/DOP</t>
  </si>
  <si>
    <t>395/2024/DOP</t>
  </si>
  <si>
    <t>396/2024/DOP</t>
  </si>
  <si>
    <t>398/2024/DOP</t>
  </si>
  <si>
    <t>399/2024/DOP</t>
  </si>
  <si>
    <t>405/2024/DOP</t>
  </si>
  <si>
    <t>406/2024/DOP</t>
  </si>
  <si>
    <t>407/2024/DOP</t>
  </si>
  <si>
    <t>412/2024/DOP</t>
  </si>
  <si>
    <t>Rozšíření ulice Podolecká</t>
  </si>
  <si>
    <t>043-14/2023/RK ze dne 6.4.2023 013-24/2023/ZK ze dne 24.4.2023</t>
  </si>
  <si>
    <t>Půdní vestavba Gymnázium J. S. Machara Brandýs n. Labem - PD</t>
  </si>
  <si>
    <t>07993</t>
  </si>
  <si>
    <t>07972</t>
  </si>
  <si>
    <t>07973</t>
  </si>
  <si>
    <t>07974</t>
  </si>
  <si>
    <t>07975</t>
  </si>
  <si>
    <t>07979</t>
  </si>
  <si>
    <t>07980</t>
  </si>
  <si>
    <t>07981</t>
  </si>
  <si>
    <t>240/2024/SKOL</t>
  </si>
  <si>
    <t>Obnova obvodového pláště hlavní budovy - DDM Beroun</t>
  </si>
  <si>
    <t>Dům dětí a mládeže Beroun, příspěvková organizace</t>
  </si>
  <si>
    <t>241/2024/SKOL</t>
  </si>
  <si>
    <t>Výměna oken v hlavní budově - SOU Slaný</t>
  </si>
  <si>
    <t xml:space="preserve">Střední odborné učiliště Slaný, příspěvková organizace </t>
  </si>
  <si>
    <t>242/2024/SKOL</t>
  </si>
  <si>
    <t>Přístavba výtahu k objektu GZW Rakovník</t>
  </si>
  <si>
    <t>Gymnázium Zikmunda Wintra Rakovník, příspěvková organizace</t>
  </si>
  <si>
    <t>243/2024/SKOL</t>
  </si>
  <si>
    <t>Nová plynová kotelna pro budovu DM - SOŠ a SOU Jílové</t>
  </si>
  <si>
    <t>Střední odborná škola a Střední odborné učiliště, Jílové u Prahy, příspěvková organizace</t>
  </si>
  <si>
    <t>07899</t>
  </si>
  <si>
    <t>07922</t>
  </si>
  <si>
    <t>07951</t>
  </si>
  <si>
    <t>07942</t>
  </si>
  <si>
    <t>Odstranění havarijního stavu, rekonstrukce a zajištění energetických úspor objektu Tylův dům, Tylova čp: 507, Kutná Hora se vznikem edukačního centra</t>
  </si>
  <si>
    <t>07958</t>
  </si>
  <si>
    <t>07959</t>
  </si>
  <si>
    <t>Vestavba recepce do průjezdu AD, rekonstrukce koncertního sálu, zázemí pro zaměstnance, WC pro invalidy</t>
  </si>
  <si>
    <t>07969</t>
  </si>
  <si>
    <t>07962</t>
  </si>
  <si>
    <t>Rekonstrukce a rozšíření zázemí a toalet pro návštěvníky v Muzeu T.G.Masaryka v Lánech</t>
  </si>
  <si>
    <t>288/2024/KUL</t>
  </si>
  <si>
    <t>Komplexní antivirová ochrana a zajištění bezpečnosti dat</t>
  </si>
  <si>
    <t>289/2024/KUL</t>
  </si>
  <si>
    <t>Interiérové vybavení výpůjčních prostor SVK</t>
  </si>
  <si>
    <t>290/2024/KUL</t>
  </si>
  <si>
    <t>Audiovizuální vybavení Historického sálu</t>
  </si>
  <si>
    <t>291/2024/KUL</t>
  </si>
  <si>
    <t>Realizace knihobudky v zámeckém parku</t>
  </si>
  <si>
    <t>2/2025</t>
  </si>
  <si>
    <t>293/2024/KUL</t>
  </si>
  <si>
    <t>Vybavení půdních prostor zámku výstavním a prezentačním systémem,  vybavení lektorského centra</t>
  </si>
  <si>
    <t>294/2024/KUL</t>
  </si>
  <si>
    <t>Rekonstrukce statkářského domu a vybudování zázemí pro návštěvníky v areálu tvrze v Hradeníně + TDS</t>
  </si>
  <si>
    <t>295/2024/KUL</t>
  </si>
  <si>
    <t xml:space="preserve">Výkup pozemků k.ú. Hradenín </t>
  </si>
  <si>
    <t>297/2024/KUL</t>
  </si>
  <si>
    <t>Tvorba 3D video modelu Ostrovského kláštera pro zobrazení v rozšířené realitě a tvorbu historických vizualizací</t>
  </si>
  <si>
    <t>298/2024/KUL</t>
  </si>
  <si>
    <t xml:space="preserve">Virtuální muzeum pro webové stránky a tvorba historického videa pro expozici Ora et labora </t>
  </si>
  <si>
    <t>299/2024/KUL</t>
  </si>
  <si>
    <t>Zhotovení dřevěné podesty se schody</t>
  </si>
  <si>
    <t>300/2024/KUL</t>
  </si>
  <si>
    <t>Rekonstrukce a rozšíření systému elektrické zabezpečovací signalizace a požárních detektorů v Památníku Karla Čapka ve Staré Huti u Dobříše</t>
  </si>
  <si>
    <t>301/2024/KUL</t>
  </si>
  <si>
    <t>Pořízení nové střešní krytiny na střechu kotelny Muzea Nové Strašecí</t>
  </si>
  <si>
    <t>302/2024/KUL</t>
  </si>
  <si>
    <t>Pořízení serverů a počítačů pro onlinovou správu sbírkové databáze</t>
  </si>
  <si>
    <t>303/2024/KUL</t>
  </si>
  <si>
    <t>Rekonstrukce stávajícího a výstavba nového depozitáře v Senomatech</t>
  </si>
  <si>
    <t>031-15/2024/RK ze dne 11.4.2024 014-33/2024/ZK ze dne 29.4.2024</t>
  </si>
  <si>
    <t>056-40/2023/RK ze dne 9.11.2023 016-29/2023/ZK ze dne 27.11.2023</t>
  </si>
  <si>
    <t>012-30/2023/RK ze dne 24.8.2023 021-27/2023/ZK ze dne 18.9.2023</t>
  </si>
  <si>
    <t>042-11/2011/RK ze dne 07.03.2011 047-15/2011/ZK ze dne 11.03.2011</t>
  </si>
  <si>
    <t xml:space="preserve">038-19/2015/RK ze dne 1.6.2015 008-17/2015/ZK ze dne 22.6.2015 </t>
  </si>
  <si>
    <t>042-33/2019/RK ze dne 31.10.2019 139-21/2019/ZK ze dne 25.11.2019</t>
  </si>
  <si>
    <t>036-53/2020/RK ze dne 20.7.2020 130-26/2020/ZK ze dne 3.8.2020</t>
  </si>
  <si>
    <t xml:space="preserve"> 080-32/2021/RK ze dne  26.8.2021 021-09/2021/ZK ze dne 13.9.2021</t>
  </si>
  <si>
    <t>052-06/2024/RK ze dne 8.2.2024 009-31/2024/ZK ze dne 26.2.2024</t>
  </si>
  <si>
    <t>045-22/2024/RK ze dne 6.6.2024 016-35/2024/ZK ze dne 24.6.2024</t>
  </si>
  <si>
    <t>042-11/2011/RK ze dne 7.3.2011 047-15/2011/ZK ze dne 11.3.2011</t>
  </si>
  <si>
    <t>008-08/2013/RK ze dne 25.2.2013 004-03/2013/ZK ze dne 11.3.2013</t>
  </si>
  <si>
    <t xml:space="preserve"> 008-08/2013/RK ze dne 25.2.2013 004-03/2013/ZK ze dne 11.3.2013</t>
  </si>
  <si>
    <t>075-07/2006/RK ze dne 30.3.2006 013-11/2006/ZK ze dne 24.4.2006</t>
  </si>
  <si>
    <t>045-24/2018/RK ze dne 6.8.2018 041-15/2018/ZK ze dne 27.8.2018</t>
  </si>
  <si>
    <t>025-05/2019/RK ze dne 4.2.2019 101-17/2019/ZK ze dne 18.2.2019</t>
  </si>
  <si>
    <t>066-02/2020/RK ze dne 13.1.2020 071-22/2020/ZK ze dne 27.1.2020</t>
  </si>
  <si>
    <t xml:space="preserve"> 037-16/2021/RK ze dne 8.4.2021 027-06/2021/ZK ze dne 26.4.2021</t>
  </si>
  <si>
    <t>030-06/2022/RK ze dne 10.2.2022 014-13/2022/ZK ze dne 28.2.2022</t>
  </si>
  <si>
    <t>064-23/2022/RK ze dne 9.6.2022 018-17/2022/ZK ze dne 27.6.2022</t>
  </si>
  <si>
    <t>064-31/2022/RK ze dne 25.8.2022 015-18/2022/ZK ze dne 12.9.2022</t>
  </si>
  <si>
    <t>070-42/2022/RK ze dne 10.11.2022 020-20/2022/ZK ze dne 28.11.2022</t>
  </si>
  <si>
    <t>048-23/2023/RK ze dne 8.6.2023 15-26/2023/ZK ze dne 26.6.2023</t>
  </si>
  <si>
    <t>040-23/2017/RK ze dne 15.6.2017 038-07/2017/ZK ze dne 27.6.2017</t>
  </si>
  <si>
    <t>053-12/2018/Rk ze dne 6.4.2018 033-13/2018/ZK ze dne 26.4.2018</t>
  </si>
  <si>
    <t xml:space="preserve">052-06/2024/RK ze dne 8.2.2024 028-08/2024/RK ze dne 22.2.2024 009-31/2024/ZK ze dne 26.2.2024  </t>
  </si>
  <si>
    <t>061-05/2021/RK ze dne 4.2.2021 048-04/2021/ZK ze dne 22.2.2021</t>
  </si>
  <si>
    <t>046-14/2022/RK ze dne 7.4.2022 011-15/2022/ZK ze dne 25.4.2022</t>
  </si>
  <si>
    <t xml:space="preserve">025-12/2015/RK ze dne 7.4.2015 007-16/2015/ZK ze dne 27.4.2015  </t>
  </si>
  <si>
    <t xml:space="preserve">011-11/2022/RK ze dne 17.3.2022 046-14/2022/RK ze dne 7.4.2022 011-15/2022/ZK ze dne 25.4.2022 009-39/2022/RK ze dne 19.10.2022 </t>
  </si>
  <si>
    <t>054-14/2014/RK ze dne 14.4.2014 013-11/2014/ZK ze dne 28.4.2014</t>
  </si>
  <si>
    <t>028-18/2024/RK ze dne 9.5.2024 045-22/2024/RK ze dne 6.6.2024 016-35/2024/ZK ze dne 24.6.2024</t>
  </si>
  <si>
    <t>044-36/2017/RK ze dne 12.10.2017 009-10/2017/ZK ze dne 24.10.2017</t>
  </si>
  <si>
    <t>040-84/2020/RK ze dne 26.11.2020 021-02/2020/ZK ze dne 14.12.2020</t>
  </si>
  <si>
    <t xml:space="preserve"> 052-06/2024/RK ze dne 8.2.2024 009-31/2024/ZK ze dne 26.2.2024</t>
  </si>
  <si>
    <t>051-39/2017/RK ze dne 13.11.2017  028-11/2017/ZK ze dne 5.12.2017 041-44/2023/RK ze dne 7.12.2023</t>
  </si>
  <si>
    <t>082-15/2016/RK ze dne 21.4.2016 012-22/2016/ZK ze dne 25.4.2016</t>
  </si>
  <si>
    <t>07921</t>
  </si>
  <si>
    <t>07984</t>
  </si>
  <si>
    <t>Doplatek rozdílu cen směňovaných nemovitostí (stavby tř. Osvobození 370, Příbram, která je ve správě MAJ, za areál školy Na Příkopech 104, Příbram, vlastněný městem Příbram).</t>
  </si>
  <si>
    <t>30/2024/INF</t>
  </si>
  <si>
    <t>Obměna zařízení po skončení záruk a podpory výrobce</t>
  </si>
  <si>
    <t>Obměna Technologických center Středočeského kraje</t>
  </si>
  <si>
    <t>3/2026</t>
  </si>
  <si>
    <t>259/2024/SOC</t>
  </si>
  <si>
    <t>Evakuační výtah Havlíčkova 447</t>
  </si>
  <si>
    <t>SC 82</t>
  </si>
  <si>
    <t>260/2024/SOC</t>
  </si>
  <si>
    <t>Rekonstrukce transformační stanice</t>
  </si>
  <si>
    <t>029-29/2024/RK ze dne 22.8.2024 013-36/2024/ZK ze dne 9.9.2024</t>
  </si>
  <si>
    <t>048-23/2023/RK ze dne 8.6.2023 015-26/2023/ZK ze dne 26.6.2023</t>
  </si>
  <si>
    <t>19/2024/OVM</t>
  </si>
  <si>
    <t>Intenzifikace ČOV Sedlec</t>
  </si>
  <si>
    <t>20/2024/OVM</t>
  </si>
  <si>
    <t>21/2024/OVM</t>
  </si>
  <si>
    <t>22/2024/OVM</t>
  </si>
  <si>
    <t>23/2024/OVM</t>
  </si>
  <si>
    <t>26/2024/OVM</t>
  </si>
  <si>
    <t>Přeložka silnice II/101, okružní křižovatka k P+R</t>
  </si>
  <si>
    <t>27/2024/OVM</t>
  </si>
  <si>
    <t>Novostavba silnice III. třídy „Nová Průběžná"</t>
  </si>
  <si>
    <t>34/2024/OHS</t>
  </si>
  <si>
    <t>Instalace odvlhčovacích jednotek do spisoven v suterénu KÚ</t>
  </si>
  <si>
    <t>35/2024/OHS</t>
  </si>
  <si>
    <t>Pořízení užitkového vozidla - 8 míst</t>
  </si>
  <si>
    <t>Snížení CN o 73 tis. Kč</t>
  </si>
  <si>
    <t>11/2025</t>
  </si>
  <si>
    <t>7/2025</t>
  </si>
  <si>
    <t>III/00310 Průhonice, úsek mezi OK</t>
  </si>
  <si>
    <t>6/2026</t>
  </si>
  <si>
    <t>DHM pro regionální centrum zastávkové služby</t>
  </si>
  <si>
    <t>automobil pro regionální centrum zastávkové služby</t>
  </si>
  <si>
    <t>414/2024/DOP</t>
  </si>
  <si>
    <t>II/611 Nehvizdy, obchvat</t>
  </si>
  <si>
    <t>415/2024/DOP</t>
  </si>
  <si>
    <t>II/338 Žehušice- hr. Obl.</t>
  </si>
  <si>
    <t>416/2024/DOP</t>
  </si>
  <si>
    <t>III/3284 Sendražice, propustek</t>
  </si>
  <si>
    <t>III/3284 Sendražice, ul. Hlavní</t>
  </si>
  <si>
    <t>II/336 Zruč nad Sázavou, ul. 1. máje</t>
  </si>
  <si>
    <t>III/3319 Kostomlaty nad Labem, ul. Doubravská, II. etapa</t>
  </si>
  <si>
    <t>III/12540 Lošany</t>
  </si>
  <si>
    <t>III/6031 Turkovice</t>
  </si>
  <si>
    <t>III/33016, III/32917 Křečkov</t>
  </si>
  <si>
    <t>III/27528 Dymokury</t>
  </si>
  <si>
    <t>II/336 Dolní Pohleď</t>
  </si>
  <si>
    <t>III/33014 Kovansko</t>
  </si>
  <si>
    <t>III/00312 Říčany, ul. Rooseveltova</t>
  </si>
  <si>
    <t>II-102 Davle, úprava zpevněných ploch</t>
  </si>
  <si>
    <t>lll/25934 Tupadly</t>
  </si>
  <si>
    <t>II/272 Dolní Cetno – Pětikozly</t>
  </si>
  <si>
    <t>III/26817 Jivina - Strážiště</t>
  </si>
  <si>
    <t>III/24019, III/24022 Olovnice</t>
  </si>
  <si>
    <t xml:space="preserve">III/10169 Škvorec </t>
  </si>
  <si>
    <t>III/3322 Čachovice - Lipník</t>
  </si>
  <si>
    <t>III/27221 Chotětov - Hrušov</t>
  </si>
  <si>
    <t>III/24213 Odolena Voda - Veliká Ves</t>
  </si>
  <si>
    <t>II/113 Vestec-Ostředek</t>
  </si>
  <si>
    <t>II/605 Loděnice-Cerhovice</t>
  </si>
  <si>
    <t>II/237 Mšec-Srbeč</t>
  </si>
  <si>
    <t>II/229 Krupá, Třeboc</t>
  </si>
  <si>
    <t>III/23739 Řevničov</t>
  </si>
  <si>
    <t>II/101, III/10134  Červený Újezd</t>
  </si>
  <si>
    <t>417/2024/DOP</t>
  </si>
  <si>
    <t>418/2024/DOP</t>
  </si>
  <si>
    <t>419/2024/DOP</t>
  </si>
  <si>
    <t>420/2024/DOP</t>
  </si>
  <si>
    <t>421/2024/DOP</t>
  </si>
  <si>
    <t>422/2024/DOP</t>
  </si>
  <si>
    <t>423/2024/DOP</t>
  </si>
  <si>
    <t>424/2024/DOP</t>
  </si>
  <si>
    <t>425/2024/DOP</t>
  </si>
  <si>
    <t>426/2024/DOP</t>
  </si>
  <si>
    <t>427/2024/DOP</t>
  </si>
  <si>
    <t>428/2024/DOP</t>
  </si>
  <si>
    <t>429/2024/DOP</t>
  </si>
  <si>
    <t>433/2024/DOP</t>
  </si>
  <si>
    <t>434/2024/DOP</t>
  </si>
  <si>
    <t>435/2024/DOP</t>
  </si>
  <si>
    <t>436/2024/DOP</t>
  </si>
  <si>
    <t>437/2024/DOP</t>
  </si>
  <si>
    <t>438/2024/DOP</t>
  </si>
  <si>
    <t>439/2024/DOP</t>
  </si>
  <si>
    <t>440/2024/DOP</t>
  </si>
  <si>
    <t>441/2024/DOP</t>
  </si>
  <si>
    <t>445/2024/DOP</t>
  </si>
  <si>
    <t>448/2024/DOP</t>
  </si>
  <si>
    <t>449/2024/DOP</t>
  </si>
  <si>
    <t>450/2024/DOP</t>
  </si>
  <si>
    <t>453/2024/DOP</t>
  </si>
  <si>
    <t>460/2024/DOP</t>
  </si>
  <si>
    <t>08011</t>
  </si>
  <si>
    <t>07498</t>
  </si>
  <si>
    <t>08013</t>
  </si>
  <si>
    <t>08061</t>
  </si>
  <si>
    <t>08062</t>
  </si>
  <si>
    <t>08064</t>
  </si>
  <si>
    <t>Rekonstrukce kuchyně a jídelny DM -  SOŠ a SOU Kladno</t>
  </si>
  <si>
    <t>07854</t>
  </si>
  <si>
    <t>Školní statek Středočeského kraje</t>
  </si>
  <si>
    <t>08088</t>
  </si>
  <si>
    <t>08089</t>
  </si>
  <si>
    <t>244/2024/SKOL</t>
  </si>
  <si>
    <t>V budoucnu založená PO</t>
  </si>
  <si>
    <t>245/2024/SKOL</t>
  </si>
  <si>
    <t>Zbudování přechodu mezi objekty na OP Tehov</t>
  </si>
  <si>
    <t>246/2024/SKOL</t>
  </si>
  <si>
    <t>08108</t>
  </si>
  <si>
    <t>08020</t>
  </si>
  <si>
    <t>304/2024/KUL</t>
  </si>
  <si>
    <t>Rekonstrukce budovy č.p. 52 - Penzion GASK</t>
  </si>
  <si>
    <t>306/2024/KUL</t>
  </si>
  <si>
    <t>CCTV ochrana návštěvnických prostor Středočeské knihovny</t>
  </si>
  <si>
    <t>307/2024/KUL</t>
  </si>
  <si>
    <t>Instalace zabezpečovacího systému GALAXY (PZS), připojení na PCO,DSS + dodání a montáž kamerového systému</t>
  </si>
  <si>
    <t>viz soubor objektů č. 10</t>
  </si>
  <si>
    <t>308/2024/KUL</t>
  </si>
  <si>
    <t>Samostatný altán v návštěvnické zóně - vědecká rekonstrukce "Masarykovy besídky"</t>
  </si>
  <si>
    <t>309/2024/KUL</t>
  </si>
  <si>
    <t>Pomník genmjr. Josefa Kholla</t>
  </si>
  <si>
    <t>247/2024/SKOL</t>
  </si>
  <si>
    <t>Výstavba nové tělocvičny SG Kladno - PD</t>
  </si>
  <si>
    <t xml:space="preserve">. </t>
  </si>
  <si>
    <t>07495</t>
  </si>
  <si>
    <t>07500</t>
  </si>
  <si>
    <t>08049</t>
  </si>
  <si>
    <t>Instalace klimatizačních jednotek do vybraných kanceláří budovy KÚ</t>
  </si>
  <si>
    <t>Nová střecha na objektech trejvů ČMS, po. Barborská 28, Kutná Hora</t>
  </si>
  <si>
    <t>462/2024/DOP</t>
  </si>
  <si>
    <t>III/1024 Řitka, rekonstrukce silnice a řešení křižovatek</t>
  </si>
  <si>
    <t>07818</t>
  </si>
  <si>
    <t>08095</t>
  </si>
  <si>
    <t>07251</t>
  </si>
  <si>
    <t>08121</t>
  </si>
  <si>
    <t>04169</t>
  </si>
  <si>
    <t>08066</t>
  </si>
  <si>
    <t>08040</t>
  </si>
  <si>
    <t>08044</t>
  </si>
  <si>
    <t>08122</t>
  </si>
  <si>
    <t>08123</t>
  </si>
  <si>
    <t>08124</t>
  </si>
  <si>
    <t>08113</t>
  </si>
  <si>
    <t>08114</t>
  </si>
  <si>
    <t>08116</t>
  </si>
  <si>
    <t>08146</t>
  </si>
  <si>
    <t>08152</t>
  </si>
  <si>
    <t>07430, 07655, 07768</t>
  </si>
  <si>
    <t>07516</t>
  </si>
  <si>
    <t>08153</t>
  </si>
  <si>
    <t>08150</t>
  </si>
  <si>
    <t>08038</t>
  </si>
  <si>
    <t>08045</t>
  </si>
  <si>
    <t>08156</t>
  </si>
  <si>
    <t>08167</t>
  </si>
  <si>
    <t>08169</t>
  </si>
  <si>
    <t>08179</t>
  </si>
  <si>
    <t>08180</t>
  </si>
  <si>
    <t>08186</t>
  </si>
  <si>
    <t>08170</t>
  </si>
  <si>
    <t>08171</t>
  </si>
  <si>
    <t>08172</t>
  </si>
  <si>
    <t>08194</t>
  </si>
  <si>
    <t>07902</t>
  </si>
  <si>
    <t>07903</t>
  </si>
  <si>
    <t>08181</t>
  </si>
  <si>
    <t>08087</t>
  </si>
  <si>
    <t>08183</t>
  </si>
  <si>
    <t>Finanční zdroje v r. 2025 celkem</t>
  </si>
  <si>
    <t>Finanční zdroje r. 2025 v tis. Kč</t>
  </si>
  <si>
    <t>Schválený rozpočet 2025 (usnesení č.018-02/2024/ZK ze dne 2.12.2024 )</t>
  </si>
  <si>
    <t xml:space="preserve">1. pololetí   (1.1.-30.6.)   </t>
  </si>
  <si>
    <t xml:space="preserve">2. pololetí   (1.7.-31.12.)       </t>
  </si>
  <si>
    <t>083-39/2024/RK ze dne 14.11.2024 019-02/2024/ZK ze dne 2.12.2024</t>
  </si>
  <si>
    <t>Plán r. 2026</t>
  </si>
  <si>
    <t>Plán r. 2027+</t>
  </si>
  <si>
    <t>Plán r. 2025</t>
  </si>
  <si>
    <t>Limit čerpání r. 2025 - 35 mil. Kč z vlastních prostředků SK</t>
  </si>
  <si>
    <t>Limit čerpání r. 2025 - 22 mil. Kč z vlastních prostředků SK</t>
  </si>
  <si>
    <t>Limit čerpání r. 2025 - 2 mil. Kč z vlastních prostředků SK</t>
  </si>
  <si>
    <t>08192</t>
  </si>
  <si>
    <t>08193</t>
  </si>
  <si>
    <t>08198</t>
  </si>
  <si>
    <t>08201</t>
  </si>
  <si>
    <t>08252</t>
  </si>
  <si>
    <t>6/2027</t>
  </si>
  <si>
    <t>36/2025/OHS</t>
  </si>
  <si>
    <t>Oprava fasády a zateplení plochých střech ve vnitrobloku budovy (budova Preslova 334)</t>
  </si>
  <si>
    <t>37/2025/OHS</t>
  </si>
  <si>
    <t>Rozšíření kapacity dobíjecích stanic pro elektrická vozidla na dvoře KÚ</t>
  </si>
  <si>
    <t>1/2026</t>
  </si>
  <si>
    <t>5/2026</t>
  </si>
  <si>
    <t>261/2025/SOC</t>
  </si>
  <si>
    <t>262/2025/SOC</t>
  </si>
  <si>
    <t>Osobní automobil 4x4</t>
  </si>
  <si>
    <t>SC.8.2</t>
  </si>
  <si>
    <t>263/2025/SOC</t>
  </si>
  <si>
    <t>Rekonstrukce střešního pláště a krovu - přístavek</t>
  </si>
  <si>
    <t>264/2025/SOC</t>
  </si>
  <si>
    <t>Stavební úpravy v objektu Havlíčkova 447</t>
  </si>
  <si>
    <t>265/2025/SOC</t>
  </si>
  <si>
    <t>Parkovací plocha domov Buda</t>
  </si>
  <si>
    <t>266/2025/SOC</t>
  </si>
  <si>
    <t>Rekonstrukce koupelen DS Benešov</t>
  </si>
  <si>
    <t>268/2025/SOC</t>
  </si>
  <si>
    <t>08226</t>
  </si>
  <si>
    <t>07853</t>
  </si>
  <si>
    <t>07855</t>
  </si>
  <si>
    <t>07856</t>
  </si>
  <si>
    <t>07857</t>
  </si>
  <si>
    <t>07858</t>
  </si>
  <si>
    <t>07859</t>
  </si>
  <si>
    <t>07860</t>
  </si>
  <si>
    <t>07861</t>
  </si>
  <si>
    <t>07994</t>
  </si>
  <si>
    <t>07995</t>
  </si>
  <si>
    <t>07992</t>
  </si>
  <si>
    <t>Střední škola a Základní škola Jesenice, Plzeňská 63</t>
  </si>
  <si>
    <t>Rekonstrukce budovy ZŠ Žebrák</t>
  </si>
  <si>
    <t>Kompletní rekonstrukce podlahy v tělocvičně - VOŠ a SZŠ Benešov</t>
  </si>
  <si>
    <t>Rekonstrukce tělocvičny - SPŠ a VOŠ Příbram</t>
  </si>
  <si>
    <t>Traktor pro výuku autoškoly - SZeŠ Čáslav</t>
  </si>
  <si>
    <t>Výstavba ZŠ a všeobecné střední školy v Roztokách (Kampus Cihelna - Základní a střední škola v Roztokách)</t>
  </si>
  <si>
    <t>Nový školní vícemístný automobil uzpůsobený pro žáky s postižením</t>
  </si>
  <si>
    <t>248/2025/SKOL</t>
  </si>
  <si>
    <t>Modernizace balkónů domova mládeže - SOŠ a SOU Nymburk</t>
  </si>
  <si>
    <t>Střední odborná škola a Střední odborné učiliště Nymburk</t>
  </si>
  <si>
    <t>249/2025/SKOL</t>
  </si>
  <si>
    <t>Sanace suterénu budovy Gymnázia MB - PD</t>
  </si>
  <si>
    <t>Gymnázium Mladá Boleslav, Palackého 191/1</t>
  </si>
  <si>
    <t>250/2025/SKOL</t>
  </si>
  <si>
    <t>Oprava havarijního stavu opěrné zdi - SPŠ MB</t>
  </si>
  <si>
    <t>251/2025/SKOL</t>
  </si>
  <si>
    <t xml:space="preserve">Obnova gastro zařízení po rekonstrukci výdejního místa a jídelny - Gymnázium Kolín </t>
  </si>
  <si>
    <t>Gymnázium, Kolín III, Žižkova 162</t>
  </si>
  <si>
    <t>252/2025/SKOL</t>
  </si>
  <si>
    <t>Aktivní ustájení koní - rozšířený modul - SZeŠ Čáslav</t>
  </si>
  <si>
    <t>254/2025/SKOL</t>
  </si>
  <si>
    <t>Stavební úpravy v budově DD a MŠ Beroun - PD</t>
  </si>
  <si>
    <t>Dětský domov a Mateřská škola, Beroun, příspěvková organizace</t>
  </si>
  <si>
    <t>Rekonstrukce propustku: II/116 Nový Knín, II/126 Soutice, III/10230 Solopysky, III/00411 Svojšice</t>
  </si>
  <si>
    <t>III/10163 Nehvizdy - Horoušany II</t>
  </si>
  <si>
    <t>III/27213 Benátky nad Jizerou - Dražice II</t>
  </si>
  <si>
    <t>III/11437 Neveklov- kř. III/11450</t>
  </si>
  <si>
    <t>III/12140 Arnoštovice - kř. III/12139</t>
  </si>
  <si>
    <t>II/227, II/229 Rakovník</t>
  </si>
  <si>
    <t>II/105 Kamenný Přívoz, mosty ev. č. 105-008 a 105-009 přes řeku Sázavu v obci Kamenný Přívoz</t>
  </si>
  <si>
    <t>II/608 hr.hl.m. Praha - Veltrusy - II/101 I. Etapa II. Část, provozní staniční km 5,555-14,800</t>
  </si>
  <si>
    <t>Dolní Bousov – rekonstrukce náměstí T. G. Masaryka a Dolní Bousov – náměstí T.G. Masaryka - odvodnění</t>
  </si>
  <si>
    <t>Měšice, křižovatka silnic II/244 x III/2443 – vybudování SSZ</t>
  </si>
  <si>
    <t>III/27215 Zdětín, rekonstrukce</t>
  </si>
  <si>
    <t>III/24637 Vliněves, průtah</t>
  </si>
  <si>
    <t>III/3321 Milovice, rekonstrukce</t>
  </si>
  <si>
    <t>III-1021 a III-1024 Hvozdnice – Bratřínov – BIM</t>
  </si>
  <si>
    <t>III/00715, III/00718, III/00719 Buštěhrad, průtah</t>
  </si>
  <si>
    <t>III/6031 Senohraby, průtah (etapa 1)</t>
  </si>
  <si>
    <t>Drahelčice, ulice Polní</t>
  </si>
  <si>
    <t>III/33011 Zvěřínek, most ev.č. 33011-2 přes říčku Výrovku za obcí Zvěřínek</t>
  </si>
  <si>
    <t>II/275 Luštěnice průtah, rekonstrukce</t>
  </si>
  <si>
    <t>II/331 Brandýs nad Labem - I/9, rekonstrukce silnice etapa 4 a etapa 6</t>
  </si>
  <si>
    <t xml:space="preserve">III/0093 Zlonín - rekonstrukce silnice </t>
  </si>
  <si>
    <t>07996</t>
  </si>
  <si>
    <t>07997</t>
  </si>
  <si>
    <t>196/2025/ZDR</t>
  </si>
  <si>
    <t xml:space="preserve">Robotický operační systém </t>
  </si>
  <si>
    <t>2/2026</t>
  </si>
  <si>
    <t>08190</t>
  </si>
  <si>
    <t>07869</t>
  </si>
  <si>
    <t>08199</t>
  </si>
  <si>
    <t>změna financování - částka 376 tis. Kč převedena z r. 2025 do roku 2026</t>
  </si>
  <si>
    <t>10/2026</t>
  </si>
  <si>
    <t>08286</t>
  </si>
  <si>
    <t>08200</t>
  </si>
  <si>
    <t>08191</t>
  </si>
  <si>
    <t>08273</t>
  </si>
  <si>
    <t>08284</t>
  </si>
  <si>
    <t>310/2025/KUL</t>
  </si>
  <si>
    <t>Odkup části pozemku od Lesů ČR</t>
  </si>
  <si>
    <t>311/2025/KUL</t>
  </si>
  <si>
    <t>Nákup pozemku pro rozšíření LMMV</t>
  </si>
  <si>
    <t>08229</t>
  </si>
  <si>
    <t>08202</t>
  </si>
  <si>
    <t>08203</t>
  </si>
  <si>
    <t>08206</t>
  </si>
  <si>
    <t>08208</t>
  </si>
  <si>
    <t>08211</t>
  </si>
  <si>
    <t>08213</t>
  </si>
  <si>
    <t>08215</t>
  </si>
  <si>
    <t>08216</t>
  </si>
  <si>
    <t>08217</t>
  </si>
  <si>
    <t>08218</t>
  </si>
  <si>
    <t>08219</t>
  </si>
  <si>
    <t>08220</t>
  </si>
  <si>
    <t>08221</t>
  </si>
  <si>
    <t>08222</t>
  </si>
  <si>
    <t>08223</t>
  </si>
  <si>
    <t>08224</t>
  </si>
  <si>
    <t>08225</t>
  </si>
  <si>
    <t>08119</t>
  </si>
  <si>
    <t>08197</t>
  </si>
  <si>
    <t>08188</t>
  </si>
  <si>
    <t>08204</t>
  </si>
  <si>
    <t>08205</t>
  </si>
  <si>
    <t>08195</t>
  </si>
  <si>
    <t>08196</t>
  </si>
  <si>
    <t>08239</t>
  </si>
  <si>
    <t>08042</t>
  </si>
  <si>
    <t>08155</t>
  </si>
  <si>
    <t>464/2025/DOP</t>
  </si>
  <si>
    <t>465/2025/DOP</t>
  </si>
  <si>
    <t>466/2025/DOP</t>
  </si>
  <si>
    <t>467/2025/DOP</t>
  </si>
  <si>
    <t>468/2025/DOP</t>
  </si>
  <si>
    <t>469/2025/DOP</t>
  </si>
  <si>
    <t>470/2025/DOP</t>
  </si>
  <si>
    <t>471/2025/DOP</t>
  </si>
  <si>
    <t>472/2025/DOP</t>
  </si>
  <si>
    <t>473/2025/DOP</t>
  </si>
  <si>
    <t>474/2025/DOP</t>
  </si>
  <si>
    <t>475/2025/DOP</t>
  </si>
  <si>
    <t>477/2025/DOP</t>
  </si>
  <si>
    <t>478/2025/DOP</t>
  </si>
  <si>
    <t>479/2025/DOP</t>
  </si>
  <si>
    <t>480/2025/DOP</t>
  </si>
  <si>
    <t>463/2025/DOP</t>
  </si>
  <si>
    <t>Nevyčerpané účelové finanční prostředky kapitoly 12 - Investiční výdaje z roku 2024 - zůstatek hospodaření z roku 2024 (Usnesení č. 014-05/2025/RK ze dne 6.2.2025)</t>
  </si>
  <si>
    <t>Realizátor</t>
  </si>
  <si>
    <t>Pro organizaci</t>
  </si>
  <si>
    <t>Čerpání do 31.12. 2024</t>
  </si>
  <si>
    <t>Finanční prostředky r. 2025 - kap.12 - plán</t>
  </si>
  <si>
    <t>Aktualizace</t>
  </si>
  <si>
    <t>čerpání r.2021-24</t>
  </si>
  <si>
    <t>Kladno, Rakovník, Lysá n.L., Příbram, Beroun, Mělník</t>
  </si>
  <si>
    <t>Benešov, Vlašim, Čáslav, Kutná Hora</t>
  </si>
  <si>
    <t>Neratovice, Mladá Boleslav, Lysá n.L., Brandýs n.L.</t>
  </si>
  <si>
    <t>Poděbrady, Lysá n.L., Hořovice, Příbram</t>
  </si>
  <si>
    <t>08230</t>
  </si>
  <si>
    <t>08175</t>
  </si>
  <si>
    <t>08207</t>
  </si>
  <si>
    <t>08210</t>
  </si>
  <si>
    <t>08312</t>
  </si>
  <si>
    <t>08238</t>
  </si>
  <si>
    <t>SW na správu dotací SK (EDP)</t>
  </si>
  <si>
    <t>Kolín, Kutná Hora, Mělník, Rakovník, Kralupy nad Vltavou</t>
  </si>
  <si>
    <t>4/2026</t>
  </si>
  <si>
    <t>481/2025/DOP</t>
  </si>
  <si>
    <t>II/229 Lišany, obchvat</t>
  </si>
  <si>
    <t>482/2025/DOP</t>
  </si>
  <si>
    <t>III/26820 Mukařov, most ev.č. 26820-6 přes potok v obci Mukařov</t>
  </si>
  <si>
    <t>483/2025/DOP</t>
  </si>
  <si>
    <t>III/32812 Pátek, most ev. č 32812-4</t>
  </si>
  <si>
    <t>485/2025/DOP</t>
  </si>
  <si>
    <t>III/25920 Boreč, most ev.č. 25920-1 přes strouhu před obcí Boreč</t>
  </si>
  <si>
    <t>486/2025/DOP</t>
  </si>
  <si>
    <t>III/24020 Zeměchy, most ev.č. 24020-1 přes Knovízský potok v obci Zeměchy</t>
  </si>
  <si>
    <t>487/2025/DOP</t>
  </si>
  <si>
    <t>III/22913 Olešná, rekonstrukce mostu ev.č. 22913-1 přes potok Olešná</t>
  </si>
  <si>
    <t>488/2025/DOP</t>
  </si>
  <si>
    <t>III/23916 Zlonice, most ev.č. 23916-2 přes Dřínovský potok</t>
  </si>
  <si>
    <t>490/2025/DOP</t>
  </si>
  <si>
    <t>III/11513 Jíloviště, most ev.č. 11513-1 přes D4 v obci Jíloviště</t>
  </si>
  <si>
    <t>491/2025/DOP</t>
  </si>
  <si>
    <t>III/11711 Osek, most ev.č. 11711-1</t>
  </si>
  <si>
    <t>492/2025/DOP</t>
  </si>
  <si>
    <t>VY11626 Mníšek pod Brdy, most ev.č. VY11626 – 1</t>
  </si>
  <si>
    <t>493/2025/DOP</t>
  </si>
  <si>
    <t>III/24513 Rostoklaty, most ev.č. 24513-1</t>
  </si>
  <si>
    <t>495/2025/DOP</t>
  </si>
  <si>
    <t>III/11819 Cetyně, most ev.č. 11819-1</t>
  </si>
  <si>
    <t>497/2025/DOP</t>
  </si>
  <si>
    <t>III/33348 Kostelec nad Černými lesy, propustek</t>
  </si>
  <si>
    <t>031-10/2025/RK ze dne 13.3.2025 012-04/2025/ZK ze dne 31.3.2025</t>
  </si>
  <si>
    <t>253/2025/SKOL</t>
  </si>
  <si>
    <t xml:space="preserve">Změna financování (převod 1 mil. Kč z r. 2025 do r. 2026)  </t>
  </si>
  <si>
    <t>07999</t>
  </si>
  <si>
    <t>07998</t>
  </si>
  <si>
    <t>07076</t>
  </si>
  <si>
    <t>08326</t>
  </si>
  <si>
    <t>08000</t>
  </si>
  <si>
    <t>Zateplení budovy školy Sped.a SOŠ Kladno - PD</t>
  </si>
  <si>
    <t>Střední pedagogická a Střední odborná škola, Kladno, příspěvková organizace</t>
  </si>
  <si>
    <t>255/2025/SKOL</t>
  </si>
  <si>
    <t xml:space="preserve">Gymnázium Jesenice - nová budova </t>
  </si>
  <si>
    <t>Gymnázium Jesenice</t>
  </si>
  <si>
    <t>vozidlo pro Odbor řízení provozu IDSK 1</t>
  </si>
  <si>
    <t>28/2024/OVM</t>
  </si>
  <si>
    <t>vozidlo pro Odbor řízení provozu IDSK 2</t>
  </si>
  <si>
    <t>29/2024/OVM</t>
  </si>
  <si>
    <t>obnova vozového parku ŘE</t>
  </si>
  <si>
    <t>30/2024/OVM</t>
  </si>
  <si>
    <t>obnova vozového parku NŘE</t>
  </si>
  <si>
    <t>08315</t>
  </si>
  <si>
    <t>Dofinancování výstavby centrálního skladu SZM, MTZ a archivu</t>
  </si>
  <si>
    <t>Rekonstrukce pavilonu gynekologie včetně vybudování 6. centrálního operačního sálu</t>
  </si>
  <si>
    <t>08343</t>
  </si>
  <si>
    <t>269/2025/SOC</t>
  </si>
  <si>
    <t>Nákup bezbariového osobního vozidla pro vozíčkáře</t>
  </si>
  <si>
    <t>270/2025/SOC</t>
  </si>
  <si>
    <t>271/2025/SOC</t>
  </si>
  <si>
    <t>Náprava opatření PBŘ – Kamýk.</t>
  </si>
  <si>
    <t>7/2027</t>
  </si>
  <si>
    <t>11/2026</t>
  </si>
  <si>
    <t>498/2025/DOP</t>
  </si>
  <si>
    <t>II/101 Břežanské údolí, sanace skalního svahu</t>
  </si>
  <si>
    <t>499/2025/DOP</t>
  </si>
  <si>
    <t>II/101 Dolní Břežany – Zbraslav</t>
  </si>
  <si>
    <t>500/2025/DOP</t>
  </si>
  <si>
    <t>II/115 Řevnice - Vižina, rekonstrukce II. etapa</t>
  </si>
  <si>
    <t>501/2025/DOP</t>
  </si>
  <si>
    <t>III/3399 a III/33914 Vlastějovice – Pavlovice</t>
  </si>
  <si>
    <t>502/2025/DOP</t>
  </si>
  <si>
    <t>Okružní křižovatka silnic II/608 x III/00812 x III/24021 - Nelahozeves</t>
  </si>
  <si>
    <t>Vnější venkovní schodiště (objekt garáže) v areálu Braunerova mlýna a vnitřní schodiště v objektu B v areálu zámku</t>
  </si>
  <si>
    <t>08336</t>
  </si>
  <si>
    <t>08338</t>
  </si>
  <si>
    <t>08342</t>
  </si>
  <si>
    <t>312/2025/KUL</t>
  </si>
  <si>
    <t>Rozšíření mobilní aplikace "Po stopách Karla Čapka"</t>
  </si>
  <si>
    <t>313/2025/KUL</t>
  </si>
  <si>
    <t>Zpracování dokumentace skutečného provedení stavby muzea metodou BIM</t>
  </si>
  <si>
    <t>314/2025/KUL</t>
  </si>
  <si>
    <t>Znovupostavení kostela z Dolních Kralovic v areálu Muzea lidových staveb v Kouřimi</t>
  </si>
  <si>
    <t>272/2025/SOC</t>
  </si>
  <si>
    <t>Komunikační zařízení pro klienty a zaměstnance Domova Unhošť</t>
  </si>
  <si>
    <t>273/2025/SOC</t>
  </si>
  <si>
    <t xml:space="preserve">Nákup pozemku Zdice </t>
  </si>
  <si>
    <t>Koniklec Suchomasty</t>
  </si>
  <si>
    <t>08314</t>
  </si>
  <si>
    <t>Rozdělení zůstatku hospodaření Středočeského kraje z roku 2024 (usnesení č. 011-04/2025/ZK ze dne 31.3.2025)</t>
  </si>
  <si>
    <t>Zapojení bankovního úvěru od Evropské investiční banky do rozpočtu Středočeského kraje na rok 2025 (usnesení č. 006-12/2025/RK ze dne 27.3.2025)</t>
  </si>
  <si>
    <t>08214</t>
  </si>
  <si>
    <t>08041</t>
  </si>
  <si>
    <t>CELKEM 27 - Odbor digitalizace</t>
  </si>
  <si>
    <t>2/2025/DIG</t>
  </si>
  <si>
    <t>Limit čerpání r. 2025 - 0 mil. Kč z vlastních prostředků SK</t>
  </si>
  <si>
    <t>07819</t>
  </si>
  <si>
    <t>06326</t>
  </si>
  <si>
    <t>08356</t>
  </si>
  <si>
    <t>08355</t>
  </si>
  <si>
    <t>Nákup LV 3441, k. ú. Milovice nad Labem a pozemků v k. ú. Malé Přítočno</t>
  </si>
  <si>
    <t>08378</t>
  </si>
  <si>
    <t>Podněty PČR, připraveny návrhy zlepšení BESIP. Nutnost doplnit svodidla ve větším rozsahu dle PČR.</t>
  </si>
  <si>
    <t>Realizace po částech z důvodu zachování přístupu do logistických areálů 24h/den.  Nutnost zahájení až v roce 2026.</t>
  </si>
  <si>
    <t>Předpoklad realizace VDZ v roce 2026.</t>
  </si>
  <si>
    <t>08407</t>
  </si>
  <si>
    <t>08262</t>
  </si>
  <si>
    <t>08409</t>
  </si>
  <si>
    <t>08410</t>
  </si>
  <si>
    <t>08426</t>
  </si>
  <si>
    <t>4/2024/MAJ</t>
  </si>
  <si>
    <t>5/2025/MAJ</t>
  </si>
  <si>
    <t>Nákup nemovitých věcí v k.ú. Mladá Boleslav</t>
  </si>
  <si>
    <t>Nemovité věci navazuji na areál p.o. Centrum 83. Nákupem dojde ke zcelení celého prostoru.</t>
  </si>
  <si>
    <t>PŘÍPRAVA</t>
  </si>
  <si>
    <t>274/2025/SOC</t>
  </si>
  <si>
    <t>Smečno - DOZP</t>
  </si>
  <si>
    <t>275/2025/SOC</t>
  </si>
  <si>
    <t>Domov Hostomice -Zátor, Zastřešení a zastínění venkovní terasy</t>
  </si>
  <si>
    <t>SC78.2</t>
  </si>
  <si>
    <t>276/2025/SOC</t>
  </si>
  <si>
    <t>Osobní automobil pro ZSI Kladno</t>
  </si>
  <si>
    <t>ZSI Kladno</t>
  </si>
  <si>
    <t>277/2025/SOC</t>
  </si>
  <si>
    <t>9místný osobní automobil pro ZSI Kladno</t>
  </si>
  <si>
    <t>278/2025/SOC</t>
  </si>
  <si>
    <t>Nápravná opatření k požárně bezpečnostnímu řešení</t>
  </si>
  <si>
    <t>Domov Seniorů Jenštejn</t>
  </si>
  <si>
    <t>051-19/2025/RK ze dne 22.5.2025 014-05/2025/ZK ze dne 9.6.2025</t>
  </si>
  <si>
    <t>Rozvoj Informačního systému Digitální technické mapy</t>
  </si>
  <si>
    <t>KÚSK</t>
  </si>
  <si>
    <t>279/2025/SOC</t>
  </si>
  <si>
    <t>Zateplení a nová fasáda budovy Terapeutické komunity</t>
  </si>
  <si>
    <t>vozidlo pro Přepravní kontrolu 1</t>
  </si>
  <si>
    <t>31/2024/OVM</t>
  </si>
  <si>
    <t xml:space="preserve">Osobní kamery s kódovaným záznamem včetně příslušenství </t>
  </si>
  <si>
    <t>32/2024/OVM</t>
  </si>
  <si>
    <t>vozidlo pro Přepravní kontrolu 2 a 3</t>
  </si>
  <si>
    <t xml:space="preserve">Změna financování (převod 1,5 mil. Kč z r. 2025 do r. 2026)  </t>
  </si>
  <si>
    <t>08451</t>
  </si>
  <si>
    <t>256/2025/SKOL</t>
  </si>
  <si>
    <t>257/2025/SKOL</t>
  </si>
  <si>
    <t>Rekonstrukce střechy elektrotechnické dílny - SOŠ a SOU Hořovice</t>
  </si>
  <si>
    <t>Střední odborná škola a Střední odborné učiliště, Hořovice</t>
  </si>
  <si>
    <t>258/2025/SKOL</t>
  </si>
  <si>
    <t>Rozšíření objektu Na Celně 2 pro potřeby ZŠS Mladá Boleslav - SP</t>
  </si>
  <si>
    <t>259/2025/SKOL</t>
  </si>
  <si>
    <t>Rekonstrukce vytápění školních dílen - SPŠ a VOŠ Kladno</t>
  </si>
  <si>
    <t>III/11411 Libomyšl II</t>
  </si>
  <si>
    <t>III/11216 Chmelná, havárie dvou propustků</t>
  </si>
  <si>
    <t>II/150 Loket - Brzotice</t>
  </si>
  <si>
    <t>II/118 Krašovice - most ev.č. 118-001 a opěrná zeď</t>
  </si>
  <si>
    <t>III/10513 Podělusy, opěrná zeď a komunikace</t>
  </si>
  <si>
    <t>III/11553 Pičín, rekonstrukce opěrné zdi</t>
  </si>
  <si>
    <t>III/10222 Nový Knín, ul. Kozohorská</t>
  </si>
  <si>
    <t xml:space="preserve">Dobříš </t>
  </si>
  <si>
    <t>III/1068 Brodce - Zbořený Kostelec</t>
  </si>
  <si>
    <t>III/1021 Měchenice, rekonstrukce silnice</t>
  </si>
  <si>
    <t>II-0066,00711,00716 Hřebeč, rekonstrukce silnice -III. etapa</t>
  </si>
  <si>
    <t>III/23626 Stochov</t>
  </si>
  <si>
    <t>III/00712 Brandýsek, průtah</t>
  </si>
  <si>
    <t>III/00722 Hole, havárie</t>
  </si>
  <si>
    <t>III/1166 Zdejcina-zabezpečení zemního tělesa</t>
  </si>
  <si>
    <t>II/101 Otvovice</t>
  </si>
  <si>
    <t>II-116, III-11624 a III-11626 Mníšek pod Brdy - část 2</t>
  </si>
  <si>
    <t>III/1025 Čísovice – Bojov</t>
  </si>
  <si>
    <t>II/201 Zbečno, havárie opěrné zdi</t>
  </si>
  <si>
    <t xml:space="preserve">III/2741 Kropáčova Vrutice – opěrná zeď </t>
  </si>
  <si>
    <t>III/27234A Bělá pod Bezdězem - oprava opěrné zdi</t>
  </si>
  <si>
    <t>III/0082 Kozomín, průtah</t>
  </si>
  <si>
    <t>III/24211 Odolena Voda, opěrná zeď</t>
  </si>
  <si>
    <t>II/272, II/332 Lysá nad Labem, křižovatka - zvýšení bezpečnosti</t>
  </si>
  <si>
    <t>III/27937 Dolní Bousov, rekonstrukce</t>
  </si>
  <si>
    <t>III/2766 Ml. Boleslav, Debř - rekonstrukce</t>
  </si>
  <si>
    <t>III/2451 Káraný</t>
  </si>
  <si>
    <t>III/27314 Hleďsebe – zvýšení bezpečnosti v okolí železničního přejezdu</t>
  </si>
  <si>
    <t>II/276 Bělá pod Bezdězem, ul. Pražská - propustek</t>
  </si>
  <si>
    <t>III/2752 Mečeříž</t>
  </si>
  <si>
    <t>III/26820 Klášter Hradiště nad Jizerou - Dolní Bukovina</t>
  </si>
  <si>
    <t>III/2773 Rostkov - hr. kraje LBC</t>
  </si>
  <si>
    <t>III/2443 Čakovičky - Kojetice</t>
  </si>
  <si>
    <t>lll/27317 Živonín</t>
  </si>
  <si>
    <t>III/0098 Byškovice - Korycany</t>
  </si>
  <si>
    <t>III/2458 Vyšehořovice</t>
  </si>
  <si>
    <t>II/120 – Sedlec – Prčice – hranice kraje, 16,976 – 11,566 km</t>
  </si>
  <si>
    <t>II/610 Svijany, most ev.č. 610-035 přes Jizeru před obcí Svijany</t>
  </si>
  <si>
    <t>II/115 hr. hl.m. Prahy - Lety, rekonstrukce 2.úsek-oblast Dobřichovice,Lety</t>
  </si>
  <si>
    <t>II/327 Záboří nad Labem</t>
  </si>
  <si>
    <t>III/6111 Jirny, most ev.č. 6111-1</t>
  </si>
  <si>
    <t>II/101 Chlumín, most ev. č. 101-064 za obcí Chlumín</t>
  </si>
  <si>
    <t>III/12144 Střezimíř, most ev. č. 12144-3</t>
  </si>
  <si>
    <t>II/101 Kostelec nad Labem, most ev. č. 101-072 přes potok v Kostelci nad Labem</t>
  </si>
  <si>
    <t>Čelákovice - chodník podél ulice Mochovská</t>
  </si>
  <si>
    <t>504/2025/DOP</t>
  </si>
  <si>
    <t>505/2025/DOP</t>
  </si>
  <si>
    <t>506/2025/DOP</t>
  </si>
  <si>
    <t>507/2025/DOP</t>
  </si>
  <si>
    <t>508/2025/DOP</t>
  </si>
  <si>
    <t>509/2025/DOP</t>
  </si>
  <si>
    <t>510/2025/DOP</t>
  </si>
  <si>
    <t>520/2025/DOP</t>
  </si>
  <si>
    <t>511/2025/DOP</t>
  </si>
  <si>
    <t>512/2025/DOP</t>
  </si>
  <si>
    <t>513/2025/DOP</t>
  </si>
  <si>
    <t>514/2025/DOP</t>
  </si>
  <si>
    <t>515/2025/DOP</t>
  </si>
  <si>
    <t>516/2025/DOP</t>
  </si>
  <si>
    <t>517/2025/DOP</t>
  </si>
  <si>
    <t>518/2025/DOP</t>
  </si>
  <si>
    <t>519/2025/DOP</t>
  </si>
  <si>
    <t>521/2025/DOP</t>
  </si>
  <si>
    <t>522/2025/DOP</t>
  </si>
  <si>
    <t>523/2025/DOP</t>
  </si>
  <si>
    <t>524/2025/DOP</t>
  </si>
  <si>
    <t>525/2025/DOP</t>
  </si>
  <si>
    <t>526/2025/DOP</t>
  </si>
  <si>
    <t>527/2025/DOP</t>
  </si>
  <si>
    <t>528/2025/DOP</t>
  </si>
  <si>
    <t>529/2025/DOP</t>
  </si>
  <si>
    <t>530/2025/DOP</t>
  </si>
  <si>
    <t>531/2025/DOP</t>
  </si>
  <si>
    <t>532/2025/DOP</t>
  </si>
  <si>
    <t>533/2025/DOP</t>
  </si>
  <si>
    <t>534/2025/DOP</t>
  </si>
  <si>
    <t>535/2025/DOP</t>
  </si>
  <si>
    <t>536/2025/DOP</t>
  </si>
  <si>
    <t>537/2025/DOP</t>
  </si>
  <si>
    <t>538/2025/DOP</t>
  </si>
  <si>
    <t>539/2025/DOP</t>
  </si>
  <si>
    <t>540/2025/DOP</t>
  </si>
  <si>
    <t>541/2025/DOP</t>
  </si>
  <si>
    <t>542/2025/DOP</t>
  </si>
  <si>
    <t>543/2025/DOP</t>
  </si>
  <si>
    <t>544/2025/DOP</t>
  </si>
  <si>
    <t>545/2025/DOP</t>
  </si>
  <si>
    <t>315/2025/KUL</t>
  </si>
  <si>
    <t>Zabezpečení objektu budoucího depozitáře v Rakovníce</t>
  </si>
  <si>
    <t>5/2027</t>
  </si>
  <si>
    <t>197/2025/ZDR</t>
  </si>
  <si>
    <t>Vybudování multioborového centra robotické medicíny</t>
  </si>
  <si>
    <t>198/2025/ZDR</t>
  </si>
  <si>
    <t>Obnova zdravotnické techniky</t>
  </si>
  <si>
    <t>048-23/2023/RK ze dne 8.6.2023   15-26/2023/ZK ze dne 26.6.2023</t>
  </si>
  <si>
    <t>08452</t>
  </si>
  <si>
    <t>08008</t>
  </si>
  <si>
    <t>08295</t>
  </si>
  <si>
    <t>08455</t>
  </si>
  <si>
    <t>08459</t>
  </si>
  <si>
    <t>Převod finančních prostředků z kapitoly 10 – Životní prostředí a zemědělství (usnesení č. 039-20/2025/RK ze dne 29.5.2025)</t>
  </si>
  <si>
    <t>08495</t>
  </si>
  <si>
    <t>08139</t>
  </si>
  <si>
    <t>08456</t>
  </si>
  <si>
    <t>08457</t>
  </si>
  <si>
    <t>08480</t>
  </si>
  <si>
    <t>08481</t>
  </si>
  <si>
    <t>08483</t>
  </si>
  <si>
    <t>08484</t>
  </si>
  <si>
    <t>Zásobník investic Středočeského kraje na rok 2025 - aktualizace č. 4</t>
  </si>
  <si>
    <t>Celkové požadavky na financování akcí v r. 2025 vycházející ze Zásobníku investic - aktualizace č. 4</t>
  </si>
  <si>
    <t>08498</t>
  </si>
  <si>
    <t>08499</t>
  </si>
  <si>
    <t>08500</t>
  </si>
  <si>
    <t>Kapitálové prostředky  (před akt. č. 4)</t>
  </si>
  <si>
    <t>Kapitálové prostředky  (po akt. č. 4)</t>
  </si>
  <si>
    <t>Priorita 10/2025     (hodnoty 1-4)</t>
  </si>
  <si>
    <t>Limit čerpání r. 2025 - 40,916 mil. Kč z vlastních prostředků SK</t>
  </si>
  <si>
    <t>Limity čerpání r. 2025 - 120 mil. Kč z vlastních prostředků SK</t>
  </si>
  <si>
    <t>Limit čerpání r. 2025 - 140 mil. Kč z vlastních prostředků SK</t>
  </si>
  <si>
    <t>Limity čerpání r. 2025 - 328,696 mil. Kč z vlastních prostředků SK, 100,523 mil. Kč z prostředků EIB</t>
  </si>
  <si>
    <t xml:space="preserve">Limit čerpání r. 2025 - 5 mil. Kč z vlastních prostředků SK </t>
  </si>
  <si>
    <t>Limity čerpání r. 2025 - 151 mil. Kč z vlastních prostředků SK, 100 mil. Kč z prostředků EIB</t>
  </si>
  <si>
    <t xml:space="preserve">Realizátorem vyhotovení geometrického plánu (cca 7,8 tis. Kč) je PO - Památník Antonína Dvořáka.     </t>
  </si>
  <si>
    <t>080-28/2025/RK ze dne 21.8.2025  009-06/2025/ZK ze dne 8.9.2025</t>
  </si>
  <si>
    <t>08509</t>
  </si>
  <si>
    <t>08522</t>
  </si>
  <si>
    <t xml:space="preserve"> 08187</t>
  </si>
  <si>
    <t>změna financování - převod 1,545 mil. Kč z r. 2025 do r. 2026</t>
  </si>
  <si>
    <t>1/2030</t>
  </si>
  <si>
    <t>změna financování - převod 1,309 mil. Kč z r. 2027 do r. 2025</t>
  </si>
  <si>
    <t>Navýšení CN o 7 mil. Kč - Nákup zvýšeného počtu licencí pro informační systémy KÚ (licence NetWorker a dalších licencí Microsoft). Změna financování - převod 3,808 mil. Kč z r. 2025 do r. 2026</t>
  </si>
  <si>
    <t>Změna financování - převod 1,168 mil. Kč z r. 2025 do r. 2026.  Prostředky na rozšíření bezpečnostní infrastruktury KÚ, nákup switchů a SFP modulů</t>
  </si>
  <si>
    <t>Navýšení CN o 1 mil. Kč - Nutný nákup serverů, switchů pro IS KÚ a dalších zařízení dle potřeb KÚ. Změna financování - převod 3,007mil. Kč z r. 2025 do r. 2026 a 1 mil. Kč z r. 2025 do r. 2027</t>
  </si>
  <si>
    <t>Navýšení CN o 1 mil. Kč - Nákup nových racků do serverovny, obnova PC v sále zastupitelstva. Změna financování - převod 1,045 mil. Kč z r. 2025 do r. 2026</t>
  </si>
  <si>
    <t xml:space="preserve">Změna financování - převod 17 mil. Kč z r. 2025 do r. 2026.   </t>
  </si>
  <si>
    <t>Snížení CN o 4 tis. Kč - objednávka uhrazena za nižší náklady. Nebude se již dočerpávat.</t>
  </si>
  <si>
    <t>33/2025/OVM</t>
  </si>
  <si>
    <t>vozidlo pro Oddělení podpory P+R</t>
  </si>
  <si>
    <t>34/2025/OVM</t>
  </si>
  <si>
    <t>SW pro dohledové centrum P+R</t>
  </si>
  <si>
    <t>35/2025/OVM</t>
  </si>
  <si>
    <t>Výstavba parkovacího domu Kolín</t>
  </si>
  <si>
    <t>zvýšení mobility pracovníků</t>
  </si>
  <si>
    <t>zajištění provozu P+R parkoviště</t>
  </si>
  <si>
    <t>navýšení kapacity parkování</t>
  </si>
  <si>
    <t>08564</t>
  </si>
  <si>
    <t>změna financování - převod 668 tis. Kč z r. 2025 do r. 2026</t>
  </si>
  <si>
    <t xml:space="preserve">Změna financování - převod 1,573 mil. Kč z r. 2025 do r. 2026 a 1 mil. Kč z r. 2025 do r. 2027.   Nákup potřebného programového vybavení, rozšíření stávajících systémů užívaných na KÚ.  </t>
  </si>
  <si>
    <t>12/2027</t>
  </si>
  <si>
    <t>snížení CN o 1,742 mil. Kč po upřesnění na základě skutečně vyfakturovaných částek</t>
  </si>
  <si>
    <t>navýšení CN o 35,268 mil. Kč na základě finální ZD, smlouvy s TDS a BOZP a zbývající části přípravy, změna financování - převod 40,943 mil. Kč z r. 2025 do r. 2026 a 4,057 mil. Kč z r. 2025 do r. 2027</t>
  </si>
  <si>
    <t>změna financování - převod 200 tis. Kč z r. 2025 do r. 2027</t>
  </si>
  <si>
    <t>08497</t>
  </si>
  <si>
    <t>08542</t>
  </si>
  <si>
    <t>08544</t>
  </si>
  <si>
    <t xml:space="preserve">Akce je přeložena do roku 2027 z důvodu přepracovávání PD </t>
  </si>
  <si>
    <t>Změna financování - převod 2 mil. Kč z r. 2025 do r. 2026.  Z důvodu dlouhotrvajícího staveb. řzení bude realizační PD ukončena až v roce 2026</t>
  </si>
  <si>
    <t>Navýšení CN o 86,883 mil. Kč (změna způsobu financování-v průběhu výběru zhotovitele byla ukončena výzva na poskytnutí dotace. Přeřazeno ze Zásobníku projektů). Změna názvu akce z důvodu sjednocení s názvem stavby. Změna financování - převod 25 mil. Kč z r. 2025 do r. 2026.</t>
  </si>
  <si>
    <t>Změna financování - převod 30 mil. Kč z r. 2025 do r. 2026.  Z důvodu odvolávání účastníku VZ k ÚHOS posunuto zahájení realizace akce o cca 2 měsíce. Akce zahájena až v 8/2025</t>
  </si>
  <si>
    <t>051-06/2023/RK ze dne 9.2.2023 015-22/2023/ZK ze dne 27.2.2023</t>
  </si>
  <si>
    <t>Změna financování - převod 300 tis. Kč z r. 2025 do r. 2026.  Z důvodu nepřipravenosti PBŘ nelze zatím organizaci připojit na CPO</t>
  </si>
  <si>
    <t>Změna financování - převod 1,5 mil. Kč z r. 2025 do r. 2026.  Z důvodu zahájení akce až v 9/2025 bude akce ukončena až v roce 2026</t>
  </si>
  <si>
    <t>Navýšení CN o 613  tis. Kč z důvodu doplňujících požadavků PBŘ + Chodbové hliníkové protipožární uzávěry - dveře.</t>
  </si>
  <si>
    <t>Z důvodu použití jiné technologie je akce jako investiční zrušena a proběhla jako neinvestiční</t>
  </si>
  <si>
    <t>Změna financování - převod 7 mil. Kč z r. 2025 do r. 2026.  Z důvodu trvalých připomínek ÚPP k realizaci rekonstrukce krovo s požadavkem na restaurování krovu s použitím dobových technik je akce opět posunuta na další období.</t>
  </si>
  <si>
    <t>Změna financování - převod 303 tis. Kč z r. 2025 do r. 2026.  Z důvodu probíhajícího plnění požadavků PBŘ bude objekt napojen až v roce 2026</t>
  </si>
  <si>
    <t>Snížení CN o 6 tis. Kč</t>
  </si>
  <si>
    <t>Snížení CN o 306 tis. Kč</t>
  </si>
  <si>
    <t>Snížení CN o 894 tis. Kč z důvodu užití moderních technologii.</t>
  </si>
  <si>
    <t>Akce zrušena v ZI z důvodu, že se nejedná o investici.</t>
  </si>
  <si>
    <t>Snížení CN o 157 tis. Kč</t>
  </si>
  <si>
    <t>Změna financování - převod 7 mil. Kč z r. 2025 do r. 2026.  Z důvodu kompletní změny PD je akce přesunuta na rok 2026 a 2027</t>
  </si>
  <si>
    <t>Změna financování - převod 1,6 mil. Kč z r. 2025 do r. 2026.  Akce přesunuta do roku 2026 z důvodu nutných úprav před zahájením rekonstrukce výtahu</t>
  </si>
  <si>
    <t>Signalizační komunikační systém pro klienty a zaměstnance – rozšíření (Vojkov)</t>
  </si>
  <si>
    <t>Navýšení CN o 220 tis. Kč v průběhu VZ, změna názvu akce - předmět zůstal stejný.</t>
  </si>
  <si>
    <t>Snížení CN o 540 tis. Kč</t>
  </si>
  <si>
    <t>Změna financování - převod 1,6 mil. Kč z r. 2025 do r. 2026.  Akce vysoutěžena až v 10/2025 a tudíž bude probíhat plnění i v roce 2026</t>
  </si>
  <si>
    <t>Snížení CN o 17 tis. Kč</t>
  </si>
  <si>
    <t>Změna způsobu financování - v důsledku nutnosti dalších investic v let. roce, hrazených z FI PO, je celá akce hrazena z ZI SK (převod 850 tis. Kč z jiných zdrojů-vlastních prostředků PO)</t>
  </si>
  <si>
    <t>Změna způsobu financování - v důsledku nutnosti dalších investic v let. roce, hrazených z FI PO, je celá akce hrazena z ZI SK (převod 1,68 mil. Kč z jiných zdrojů-vlastních prostředků PO)</t>
  </si>
  <si>
    <t>Změna financování - přesun 24 mil. Kč z r. 2025 do r. 2026.  Nákup pozemku posunut do roku 2026 z důvodu rozhodnutí Rady SK - jednání o ceně</t>
  </si>
  <si>
    <t>280/2025/SOC</t>
  </si>
  <si>
    <t>Rekonstrukce 4. pavilonu na domácnost DOZP</t>
  </si>
  <si>
    <t>281/2025/SOC</t>
  </si>
  <si>
    <t>Rekonstrukce RD na DOZP Šanov - Domino</t>
  </si>
  <si>
    <t>Domov Domino</t>
  </si>
  <si>
    <t>Rekonstrukce pořízené nemovitosti zejména z důvodu splnění bezbarierovosti</t>
  </si>
  <si>
    <t>282/2025/SOC</t>
  </si>
  <si>
    <t>Přístavba objektu Domov u Anežky Luštenice - GASTROVYBAVENÍ</t>
  </si>
  <si>
    <t xml:space="preserve">Stavební úpravy - Humanizace Domova na Hrádku - Projektová dokumentace </t>
  </si>
  <si>
    <t>Domov Na Hrádku</t>
  </si>
  <si>
    <t>284/2025/SOC</t>
  </si>
  <si>
    <t>Kompletní výměna oken (3 sklo) - DZR Luštěnice</t>
  </si>
  <si>
    <t>Domov U Anežky Luštěnice</t>
  </si>
  <si>
    <t>náhrada již nepoužitelných oken - zlepšení tepelně izolačních a protihlukových vlastností</t>
  </si>
  <si>
    <t>285/2025/SOC</t>
  </si>
  <si>
    <t>Zateplení obvodových plášťů - DZR Luštěnice 1. etapa</t>
  </si>
  <si>
    <t>Nutná oprava, zlepšení tepelně izolačních vlastností</t>
  </si>
  <si>
    <t>286/2025/SOC</t>
  </si>
  <si>
    <t>Vestavěné skříně Dobříš</t>
  </si>
  <si>
    <t>Náhrada starých nevyhovujících skříní-zvýšení komfortu klientů</t>
  </si>
  <si>
    <t>Snížení CN o 21 tis. Kč</t>
  </si>
  <si>
    <t>Změna financování - převod 1,978 mil. Kč z r. 2025 do r. 2026.  Akce přesunuta do roku 2026 - probíhá stavební řízení</t>
  </si>
  <si>
    <t>08344</t>
  </si>
  <si>
    <t>v tis. Kč vč. DPH</t>
  </si>
  <si>
    <t>Změna způsobu financování. Bude financováno ze zásobníku projektů (kap. 23).</t>
  </si>
  <si>
    <t>3/2025/DIG</t>
  </si>
  <si>
    <t>Portál dopravce StČ</t>
  </si>
  <si>
    <t>Navýšení CN o 10 mil. Kč z důvodu doplňujících požadavků na požární zabezpečení, stavební řízení probíhá již 4 měsíce</t>
  </si>
  <si>
    <t>Navýšení CN o 291 tis. Kč, z důvodu určení předběžné ceny na základě průzkumu trhu.</t>
  </si>
  <si>
    <t>Z důvodu humanizace zařízení je nutno změnit vnitřní dispozice pavilonu na tzv. domácnosti</t>
  </si>
  <si>
    <t>Gastrovybavení nové budovy, kompletní gastrovybavení tzn. velkokapacitní kuchyně není součástí stavební akce Přístavba objektu Domov U Anežky z důvodu požadavku st. orgánů na vysoutěžení samostatně.</t>
  </si>
  <si>
    <t>Humanizace Domova na Hrádku je nutná z důvodu již nevyhovujících vícelůžkových pokojů včetně kompletní mobility</t>
  </si>
  <si>
    <t>2/2027</t>
  </si>
  <si>
    <t>Probíhá soudní spor. Aktuálně požádáno o poskytnutí finanční návratné výpomoci ve výši 71 647 249,08 Kč.</t>
  </si>
  <si>
    <t>změna financování - převod 90 mil. Kč z r. 2025 do r. 2026</t>
  </si>
  <si>
    <t>08554</t>
  </si>
  <si>
    <t>08555</t>
  </si>
  <si>
    <t xml:space="preserve">Změna financování (převod 516 tis. Kč z r. 2025 do r. 2026)  </t>
  </si>
  <si>
    <t>Změna financování. Převod 2 mil. z r. 2025 do r. 2026.</t>
  </si>
  <si>
    <t xml:space="preserve">Změna financování (převod 2,5 mil. Kč z r. 2025 do r. 2026)  </t>
  </si>
  <si>
    <t>Snížení celkových nákladů o 754 tis. Kč na základě reality z vysoutěžené veřejné zakázky</t>
  </si>
  <si>
    <t xml:space="preserve">Změna financování (převod 600 tis. Kč z r. 2025 do r. 2026)  </t>
  </si>
  <si>
    <t xml:space="preserve">Změna financování (převod 4,5 mil. Kč z r. 2025 do r. 2026)  </t>
  </si>
  <si>
    <t>048-23/2023/RK ze dne 8.6.2023 015-26/2023/ZK ze dne 26.6.2024</t>
  </si>
  <si>
    <t xml:space="preserve">Změna financování (převod 3,9 mil. Kč z r. 2025 do r. 2026)  </t>
  </si>
  <si>
    <t>048-23/2023/RK ze dne 8.6.2023 015-26/2023/ZK ze dne 26.6.2025</t>
  </si>
  <si>
    <t>Změna financování. Převod 2,5 mil. z r. 2025 do r. 2026.</t>
  </si>
  <si>
    <t>048-23/2023/RK ze dne 8.6.2023 015-26/2023/ZK ze dne 26.6.2026</t>
  </si>
  <si>
    <t>048-23/2023/RK ze dne 8.6.2023 015-26/2023/ZK ze dne 26.6.2027</t>
  </si>
  <si>
    <t xml:space="preserve">Změna financování (převod 35 mil. Kč z r. 2025 do r. 2026)  </t>
  </si>
  <si>
    <t>Změna financování. Převod 15 mil. z r. 2025 do r. 2026.</t>
  </si>
  <si>
    <t>7/2026</t>
  </si>
  <si>
    <t xml:space="preserve">Změna financování (převod 5 mil. Kč z r. 2025 do r. 2026)  </t>
  </si>
  <si>
    <t xml:space="preserve">Změna financování (převod 100 tis. Kč z r. 2026 do r. 2025)  </t>
  </si>
  <si>
    <t xml:space="preserve">Změna financování (převod 200 tis. Kč z r. 2026 do r. 2025)  </t>
  </si>
  <si>
    <t>Snížení celkových nákladů o 265 tis. Kč na základě reality z vysoutěžené veřejné zakázky</t>
  </si>
  <si>
    <t>Snížení celkových nákladů o 305 tis. Kč na základě reality z vysoutěžené veřejné zakázky</t>
  </si>
  <si>
    <t>Snížení celkových nákladů o 120 tis. Kč na základě reality z vysoutěžené veřejné zakázky</t>
  </si>
  <si>
    <t>Snížení celkových nákladů o 373 tis. Kč na základě reality z vysoutěžené veřejné zakázky</t>
  </si>
  <si>
    <t xml:space="preserve">Změna financování (převod 2,9 mil. Kč z r. 2025 do r. 2026)  </t>
  </si>
  <si>
    <t>Snížení celkových nákladů o 66 tis. Kč na základě reality z vysoutěžené veřejné zakázky</t>
  </si>
  <si>
    <t xml:space="preserve">Změna financování (převod 2,3 mil. Kč z r. 2025 do r. 2026)  </t>
  </si>
  <si>
    <t xml:space="preserve">Změna financování (převod 500 tis. Kč z r. 2025 do r. 2026)  </t>
  </si>
  <si>
    <t xml:space="preserve">Změna financování (převod 400 tis. Kč z r. 2025 do r. 2026)  </t>
  </si>
  <si>
    <t>ZUŠ Hořovice - Rekonstrukce elektroinstalace</t>
  </si>
  <si>
    <t xml:space="preserve">Změna financování (převod 200 tis. Kč z r. 2025 do r. 2026)  </t>
  </si>
  <si>
    <t>Rekonstrukce elektro rozvodů v budově DM SOŠ a SOU Nymburk - PD</t>
  </si>
  <si>
    <t>Střední odborná škola a Střední odborné učiliště, Nymburk, V Kolonii 1804</t>
  </si>
  <si>
    <t>Rekonstrukce školní kuchyně SOŠ a SOU Nymburk - PD</t>
  </si>
  <si>
    <t>Rekonstrukce DM SŠ letecké a výpočetní techniky Odolená Voda - PD</t>
  </si>
  <si>
    <t>Střední škola letecké a výpočetní techniky, Odolena Voda, U Letiště 370</t>
  </si>
  <si>
    <t>Výstavba nové tělocvičny SOŠ a SOU dopravní Čáslav - SP</t>
  </si>
  <si>
    <t>Střední odborná škola a Střední odborné učiliště dopravní Čáslav, příspěvková organizace</t>
  </si>
  <si>
    <t xml:space="preserve">Rekonstrukce a modernizace venkovního sportoviště SOU Slaný </t>
  </si>
  <si>
    <t>Rekonstrukce školní kuchyně a jídelny SOU a PŠ Kladno-Vrapice - PD</t>
  </si>
  <si>
    <t>Střední odborné učiliště a Praktická škola Kladno - Vrapice, příspěvková organizace</t>
  </si>
  <si>
    <t>změna způsobu financování - hrazeno z FI PO</t>
  </si>
  <si>
    <t>Odstranění havarijního stavu + umožnění výměny výtahů</t>
  </si>
  <si>
    <t>splnění požadavků dle bezpečnostních, požárních a hygienických norem</t>
  </si>
  <si>
    <t>modernizace, zateplení (snížení energetické náročnosti)</t>
  </si>
  <si>
    <t>všestranné využití pro více příspěvkových organizací</t>
  </si>
  <si>
    <t>Modernizace pro splnění bezpečnostních a provozních podmínek pro tělesnou výchovu žáků.</t>
  </si>
  <si>
    <t xml:space="preserve">Modernizace pro splnění bezpečnostních, požárních a hygienických norem </t>
  </si>
  <si>
    <t>Areál ředitelství a cestmistrovství Krajské správy a údržby silnic Středočeského kraje, p.o</t>
  </si>
  <si>
    <t>Změna názvu položky dle smluvních vztahů.</t>
  </si>
  <si>
    <t>snížení CN o 200 tis Kč ZBV</t>
  </si>
  <si>
    <t>zvýšení o 260 tis Kč ZBV</t>
  </si>
  <si>
    <t>snížení CN o 560 tis Kč</t>
  </si>
  <si>
    <t>zvýšení CN o 1,6 mil Kč ZBV</t>
  </si>
  <si>
    <t>Zvýšení CN o 300 tis Kč ZBV</t>
  </si>
  <si>
    <t>zvýšení CN o 2,2, mil Kč ZBV</t>
  </si>
  <si>
    <t>snížení CN o 1,047 mil Kč ZBV</t>
  </si>
  <si>
    <t>II/116, III/11626 a III/11624 Mnišek pod Brdy - část 1</t>
  </si>
  <si>
    <t>zvýšení CN o 2,225 mil Kč , ZBV</t>
  </si>
  <si>
    <t>546/2025/DOP</t>
  </si>
  <si>
    <t>III/12136 Prčice – Mrákotice – kř.II/121</t>
  </si>
  <si>
    <t>547/2025/DOP</t>
  </si>
  <si>
    <t>II/240 Černuc, přestavba mostu ev. 240-027 na propustek</t>
  </si>
  <si>
    <t>548/2025/DOP</t>
  </si>
  <si>
    <t>II/605 Bavoryně - Králův Dvůr</t>
  </si>
  <si>
    <t>čerpání r. 2025</t>
  </si>
  <si>
    <t>změna financování - částka 17,5 mil. Kč převedena z r. 2026 do roku 2027+</t>
  </si>
  <si>
    <t>změna financování - částka 11,8 mil. Kč převedena z r. 2026 do roku 2027+</t>
  </si>
  <si>
    <t>změna financování - částka 510 tis. Kč převedena z r. 2025 do roku 2027+ a částka 48,092 mil. Kč převedena z r. 2026 do roku 2027+</t>
  </si>
  <si>
    <t>změna financování - částka 985 tis. Kč převedena z r. 2025 do roku 2026</t>
  </si>
  <si>
    <t>změna financování - částka 3,571 mil. Kč převedena z r. 2025 do roku 2026</t>
  </si>
  <si>
    <t>změna financování - částka 325 tis. Kč převedena z r. 2026 do roku 2027+</t>
  </si>
  <si>
    <t>snížení CN o 76 tis. Kč</t>
  </si>
  <si>
    <t>změna financování - částka 90,913 mil. Kč převedena z r. 2026 do roku 2027+</t>
  </si>
  <si>
    <t>navýšení CN o 200 tis. Kč - důvodem je meziroční nárůst cen automobilů</t>
  </si>
  <si>
    <t>snížení CN o 19,273 mil. Kč, akce přesunuta do Zásobníku projektů</t>
  </si>
  <si>
    <t>snížení CN o 593 tis. Kč</t>
  </si>
  <si>
    <t>změna financování - částka 38,524 mil. Kč převedena z r. 2026 do roku 2027+</t>
  </si>
  <si>
    <t>snížení CN o 3,004 mil. Kč, akce přesunuta do Zásobníku projektů</t>
  </si>
  <si>
    <t>změna financování - částka 3,5 mil. Kč převedena z r. 2026 do roku 2027+</t>
  </si>
  <si>
    <t>snížení CN o 24 tis. Kč</t>
  </si>
  <si>
    <t>změna financování - částka 6,452 mil. Kč převedena z r. 2026 do roku 2027+</t>
  </si>
  <si>
    <t>navýšení CN o 12,5 mil. Kč - důvodem je realizace koncepce sbírkotvorné činnosti PO se zaměřením na rozšiřování sbírek nákupem předmětů v letech 2026-2030</t>
  </si>
  <si>
    <t>12/2030</t>
  </si>
  <si>
    <t>snížení CN o 774 tis. Kč</t>
  </si>
  <si>
    <t>snížení CN o 306 tis. Kč</t>
  </si>
  <si>
    <t>změna financování - částka 200 tis. Kč převedena z r. 2026 do roku 2025 a částka 1,15 mil. Kč z roku 2026 do roku 2027+</t>
  </si>
  <si>
    <t>10/2027</t>
  </si>
  <si>
    <t>snížení CN o 5,699 mil. Kč, investiční akce přesunuta do Zásobníku projektů - národní zdoje, schválena dotace MK</t>
  </si>
  <si>
    <t>změna financování - částka 10,562 mil. Kč převedena z r. 2026 do roku 2027+</t>
  </si>
  <si>
    <t>změna financování - částka 10,6 mil. Kč převedena z r. 2026 do roku 2027+</t>
  </si>
  <si>
    <t>změna financování - částka 1 mil. Kč převedena z r. 2026 do roku 2027+</t>
  </si>
  <si>
    <t>změna financování - částka 262,546 mil. Kč převedena z r. 2026 do roku 2027+</t>
  </si>
  <si>
    <t>snížení CN o 6,104 mil. Kč, akce přesunuta do Zásobníku projektů</t>
  </si>
  <si>
    <t>změna financování - částka 3,569 mil. Kč převedena z r. 2025 do roku 2026</t>
  </si>
  <si>
    <t>změna financování - částka 124,6 mil. Kč převedena z r. 2026 do roku 2027+</t>
  </si>
  <si>
    <t>snížení CN o 3,739 mil. Kč, akce přesunuta do Zásobníku projektů</t>
  </si>
  <si>
    <t>snížení CN o 142,991 mil. Kč, akce přesunuta do Zásobníku akcí</t>
  </si>
  <si>
    <t>změna financování - částka 31,2 mil. Kč převedena z r. 2026 do roku 2027+</t>
  </si>
  <si>
    <t>změna způsobu financování - akce přesunuta do Zásobníku akcí (původní celkové náklady 310,669 mil. Kč,)</t>
  </si>
  <si>
    <t>snížení CN o 316 tis. Kč</t>
  </si>
  <si>
    <t>změna financování - částka 32,746 mil. Kč převedena z r. 2026 do roku 2027+</t>
  </si>
  <si>
    <t>změna financování - částka 49,888 mil. Kč převedena z r. 2026 do roku 2027+</t>
  </si>
  <si>
    <t>změna financování - částka 2,42 mil. Kč převedena z r. 2025 do roku 2026</t>
  </si>
  <si>
    <t>změna financování - částka 34,545 mil. Kč převedena z r. 2026 do roku 2027+</t>
  </si>
  <si>
    <t>316/2025/KUL</t>
  </si>
  <si>
    <t>Multimediální aplikace pro Geopark Brd a Podbrdska</t>
  </si>
  <si>
    <t>zvýšení zákaznické přitažlivosti (aplikace provede návštěvníky Geoparkem a jeho blízkým okolím - atraktivní, hravá a smyslově podmanivá forma)</t>
  </si>
  <si>
    <t>08545</t>
  </si>
  <si>
    <t>Změna financování - převod 8,8 mil. Kč z r. 2025 do r. 2026</t>
  </si>
  <si>
    <t>Změna financování – převod  1 mil . Kč  z r. 2025 do r. 2026.   Stavebně dokončeno</t>
  </si>
  <si>
    <t>Změna financování - převod 9,7 mil. Kč z r. 2025 do r. 2026</t>
  </si>
  <si>
    <t>Změna financování - převod 7 mil. Kč z r. 2025 do r. 2026</t>
  </si>
  <si>
    <t>snížení CN o 8 tis. Kč</t>
  </si>
  <si>
    <t>38/2025/OHS</t>
  </si>
  <si>
    <t>Elektromotorické ovládání vstupních dveří (vstup A) a napojení dveří a vvjezdových vrat na systém EPS v budově</t>
  </si>
  <si>
    <t>zvýšení bezpečnosti osob v budově</t>
  </si>
  <si>
    <t>39/2025/OHS</t>
  </si>
  <si>
    <t>Stavební opravy spojovacího můstku včetně rozšíření zakrytí ocelové konstrukce</t>
  </si>
  <si>
    <t>oprava fasády po provedené výměně oken, rozšíření zakrytí ocelové konstukce</t>
  </si>
  <si>
    <t xml:space="preserve">Změna financování - převod 3,615 mil. Kč z r. 2025 do r. 2026.      Obecná akce, z níž se financuje vícero menších demoličních zakázek pro SOC a ŠKS, které tyto odbory žádají po MAJ. </t>
  </si>
  <si>
    <t>digitalizace dnes manuálního procesu</t>
  </si>
  <si>
    <t>změna financování – převod 5 mil Kč z roku 2025 do roku 2027</t>
  </si>
  <si>
    <t>změna financování – převod 3 mil Kč z roku 2025 do roku 2027</t>
  </si>
  <si>
    <t>změna financování – převod 25 mil Kč z roku 2025 do roku 2027</t>
  </si>
  <si>
    <t>změna financování – převod 4 mil Kč z roku 2025 do roku 2026</t>
  </si>
  <si>
    <t>změna financování – převod 1 mil Kč z roku 2025 z roku 2026</t>
  </si>
  <si>
    <t>změna financování – převod 10 mil Kč z roku 2025 do roku 2026</t>
  </si>
  <si>
    <t>změna financování – převod 318 tis Kč z roku 2025 do roku 2027</t>
  </si>
  <si>
    <t>změna financování – převod 5 mil Kč z roku 2026 do roku 2025</t>
  </si>
  <si>
    <t>změna financování – převod 24,961 mil Kč z roku 2025 do roku 2026</t>
  </si>
  <si>
    <t>snížení CN o 415 tis Kč, ZBV</t>
  </si>
  <si>
    <t>změna financování – převod 90 tis. Kč z roku 2025 do roku 2026</t>
  </si>
  <si>
    <t>změna financování – převod 18 mil Kč z roku 2025 do roku 2026</t>
  </si>
  <si>
    <t>změna financování – převod 4,1 mil Kč z roku 2025 do roku 2026</t>
  </si>
  <si>
    <t>změna financování – převod 5,357 mil Kč z roku 2025 do 2026</t>
  </si>
  <si>
    <t>změna financování – převod 4,645 mil Kč z roku 2026 do 2025</t>
  </si>
  <si>
    <t>změna financování – převod 9,5 mil Kč z roku 2025 do roku 2026</t>
  </si>
  <si>
    <t>změna financování – převod 1 mil Kč z roku 2025 do roku 2026</t>
  </si>
  <si>
    <t>změna financování – převod 6 mil Kč z zroku 2026 do 2025</t>
  </si>
  <si>
    <t>změna financování – převod 5 mil Kč z roku 2025 do roku 2026</t>
  </si>
  <si>
    <t>změna financování – převod 300 tis. Kč z roku 2025 do roku 2026</t>
  </si>
  <si>
    <t>změna financování – převod 500 tis. Kč z roku 2025 do roku 2026</t>
  </si>
  <si>
    <t>změna financování – převod 2,2 mil Kč z 2026 do 2025</t>
  </si>
  <si>
    <t>změna financování – převod 10 mil Kč z roku 2025 do 2026</t>
  </si>
  <si>
    <t>změna financování – převod 1,2 mil Kč z roku 2026 do 2025</t>
  </si>
  <si>
    <t>změna financování – převod 500 tis Kč z roku 2025 do roku 2027</t>
  </si>
  <si>
    <t>změna financování – převod 2,3 mil Kč z roku 2026 do 2025</t>
  </si>
  <si>
    <t>změna financování – převod 1,4 mil Kč z roku 2025 do roku 2026</t>
  </si>
  <si>
    <t>změna financování – převod 30 mil Kč z roku 2025 do roku 2027</t>
  </si>
  <si>
    <t>snížení CN o 5,854mil Kč soutěží</t>
  </si>
  <si>
    <t>změna financování – převod 7,7 mil Kč z roku 2025 do 2027, převod mezi roky 2026 a 2027</t>
  </si>
  <si>
    <t>změna způsobu financování, přesun do SFDI</t>
  </si>
  <si>
    <t>změna financování – převod 2,7 mil Kč z roku 2025 do 2026</t>
  </si>
  <si>
    <t>změna financování – převod 7 mil Kč z roku 2025 do roku 2026</t>
  </si>
  <si>
    <t>změna financování – převod 500 tis Kč z roku 2025 do roku 2026</t>
  </si>
  <si>
    <t>změna financování – převod 1,9 mil Kč z roku 2026 do roku 2025</t>
  </si>
  <si>
    <t>změna financování – převod 32 mil Kč z roku 2026 do roku 2025</t>
  </si>
  <si>
    <t>změna financování, přesun 6 mil Kč z roku 2026 do roku 2025</t>
  </si>
  <si>
    <t>změna financování – převod 11 mil Kč z roku 2025 do roku 2026</t>
  </si>
  <si>
    <t>změna financování – převod 3,2 mil Kč z roku 2026  do roku 2025</t>
  </si>
  <si>
    <t>změna financování – převod 7,294 mil Kč z roku 2026 do roku 2025</t>
  </si>
  <si>
    <t>změna financování – převod 29,534 mil Kč z roku 2025 do roku 2026</t>
  </si>
  <si>
    <t>změna financování – převod 18,18 mil Kč z roku 2025 do roku 2026</t>
  </si>
  <si>
    <t>změna financování – převod 11,478 mil Kč z roku 2025 do roku 2026</t>
  </si>
  <si>
    <t>změna financování – převod 20 mil Kč z roku 2025 do roku 2026 a mezi roky 2026 a 2027</t>
  </si>
  <si>
    <t>změna financování – převod 26,79 mil Kč do roku 2026</t>
  </si>
  <si>
    <t>změna financování – převod 20 mil Kč z roku 2025 do roku 2027</t>
  </si>
  <si>
    <t>změna financování – převod 6,97 mil Kč z roku 2025 do roku 2026</t>
  </si>
  <si>
    <t>změna financování – převod 1,703 mil Kč do roku 2026</t>
  </si>
  <si>
    <t>změna financování – převod 16,281 mil Kč z roku 2025 do roku 2026</t>
  </si>
  <si>
    <t>změna financování – převod 70 mil Kč z roku 2025 do roku 2027</t>
  </si>
  <si>
    <t>změna financování – převod 14,287 mil Kč z roku 2025 do roku 2026</t>
  </si>
  <si>
    <t>změna financování, převod 312 tis Kč z roku 2026 do roku 2025</t>
  </si>
  <si>
    <t>549/2025/DOP</t>
  </si>
  <si>
    <t xml:space="preserve">III/2273 Nový Dům, III/2333 Lašovice, III/2276 Svojetí, III/0273 Bedlno, III/2019,20120 Novosedly                          </t>
  </si>
  <si>
    <t>550/2025/DOP</t>
  </si>
  <si>
    <t xml:space="preserve">III/32912 Předhrádí – Sokoleč                                                                                                                                                        </t>
  </si>
  <si>
    <t>551/2025/DOP</t>
  </si>
  <si>
    <t xml:space="preserve">II/334 Ždánice – Radlice                                                                                                                                                                   </t>
  </si>
  <si>
    <t>552/2025/DOP</t>
  </si>
  <si>
    <t xml:space="preserve">III/6111 Jirny                                                                                                                                                                                       </t>
  </si>
  <si>
    <t>553/2025/DOP</t>
  </si>
  <si>
    <t xml:space="preserve">II/279 Žďár – Žehrov                                                                                                                                                                         </t>
  </si>
  <si>
    <t>změna financování, přesun 200 tis Kč z roku 2025 do roku 2026</t>
  </si>
  <si>
    <t>snížení CN o 500 tis. Kč, změna financování - převod 5,2 mil. Kč z r. 2026 a 2027+ do r. 2025 ,</t>
  </si>
  <si>
    <t>zvýšení CN o 875 tis Kč -ZBV,   změna financování - přesun 1,445 mil Kč z roku 2026 do roku 2025</t>
  </si>
  <si>
    <t>zvýšení CN o 210 tis Kč - ZBV</t>
  </si>
  <si>
    <t>Zvýšení CN o 7 mil Kč - ZBV</t>
  </si>
  <si>
    <t>zvýšení CN o 2,319 mil Kč - ZBV</t>
  </si>
  <si>
    <t>zvýšení CN o 2,5 mil Kč - ZBV</t>
  </si>
  <si>
    <t>zvýšení o 2,443 mil Kč - ZBV</t>
  </si>
  <si>
    <t>změna financování – převod 687 tis Kč z roku 2025 do roku 2026</t>
  </si>
  <si>
    <t>zvýšení CN o 1 mil Kč, změna financování - převod 10 mil Kč z  roku 2026 do 2025</t>
  </si>
  <si>
    <t xml:space="preserve">změna financování – převod 1 mil Kč z roku 2025 do roku 2026 </t>
  </si>
  <si>
    <t>změna financování – převod 995 tis. Kč z roku 2025 do 2026</t>
  </si>
  <si>
    <t>snížení CN o 4,024 mil Kč -  ZBV</t>
  </si>
  <si>
    <t>změna  způsobu financování – převod do jiného financování škody po zimě</t>
  </si>
  <si>
    <t>snížení CN o 16,5 mil Kč soutěží, změna finacování - převod 500 tis.kč z r. 2026 do r. 2025</t>
  </si>
  <si>
    <t>změna financování – převod 393 tis. Kč z roku 2025 do roku 2026</t>
  </si>
  <si>
    <t>změna financování – převod 28,5 mil Kč z roku 2025 do roku 2026</t>
  </si>
  <si>
    <t xml:space="preserve"> zvýšení CN o 2,1 mil Kč větším rozsahem,  změna financování – převod 23,4 mil Kč z roku 2025 do roku 2026</t>
  </si>
  <si>
    <t>změna financování – převod 350 tis Kč z roku 2025 do roku 2027</t>
  </si>
  <si>
    <t>zvýšení CN o 5,58 mil Kč větším rozsahem investiční akce,  změna financování – převod 11,558 mil Kč do roku 2026</t>
  </si>
  <si>
    <t>Navýšení CN o 109 tis. Kč - oprava chyby z min. aktualizace</t>
  </si>
  <si>
    <t>zvýšení CN o 479 tis Kč - ZBV</t>
  </si>
  <si>
    <t>změna financování – převod 30 mil Kč z roku 2025 do roku 2026</t>
  </si>
  <si>
    <t>změna způsobu financování, financování ze SFDI</t>
  </si>
  <si>
    <t>změna způsobu financování - převod do SFDI</t>
  </si>
  <si>
    <t>Limit čerpání r. 2025 - 62 mil. Kč z vlastních prostředků SK</t>
  </si>
  <si>
    <t>Limit čerpání r. 2025 - 11 mil. Kč z vlastních prostředků SK</t>
  </si>
  <si>
    <t>červené písmo (celý řádek) + poznámka (odůvodnění)</t>
  </si>
  <si>
    <t>Poznámka</t>
  </si>
  <si>
    <t>Limit čerpání r. 2025 - 230 mil. Kč z vlastních prostředků SK</t>
  </si>
  <si>
    <t xml:space="preserve">Limity čerpání r. 2025 - 1,449409 mld. Kč z vlastních prostředků SK,    25 mil. Kč z prostředků EIB </t>
  </si>
  <si>
    <t>Převod finančních prostředků z kapitoly 23 - Ostatní (Usnesení č. 018-35/2025/RK ze dne 16.10.2025)</t>
  </si>
  <si>
    <t>Převod finančních prostředků z kapitoly 12 - Investiční výdaje do kapitoly 04 - Doprava (předkládáno ke schválení na jednání RK dne 6.11.2025)</t>
  </si>
  <si>
    <t>součet limitů čerpání jednotlivých odborů (kapitol) pro r. 2025 - 2,597021 mld. Kč z vlastních prostředků SK,   225,523 mil. Kč z prostředků EIB</t>
  </si>
  <si>
    <t>Plán r. 2026+</t>
  </si>
  <si>
    <t>snížení CN o 14,544 mil. Kč, akce přesunuta do Zásobníku projektů, změna financování - převod 145 tis. Kč z r. 2026 do r. 2025</t>
  </si>
  <si>
    <t>Změna financování - převod 22,755 mil. Kč z r. 2025 do r. 2026.   Zkompletování souvisejících pozemků</t>
  </si>
  <si>
    <t>navýšení CN o 195 tis. Kč na základě nové objednávky na služby TDS a BOZP, změna financování - převod 107,838 mil. Kč z r. 2025 do r. 2026</t>
  </si>
  <si>
    <t>554/2025/DOP</t>
  </si>
  <si>
    <t>Rekonstrukce části budovy Jiráskova č.p. 1533, Mnichovo Hradiště</t>
  </si>
  <si>
    <t>038-20/2025/RK ze dne 29.5.2025</t>
  </si>
  <si>
    <t>snížení CN o 205 tis. Kč</t>
  </si>
  <si>
    <t>Čerpání v r.2025    (k 3.11.2025)</t>
  </si>
  <si>
    <t xml:space="preserve">Příloha č. 1 k USNESENÍ č. 015-07-2025-ZK ze dne 1. 12. 2025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</si>
</sst>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K_č_-;\-* #,##0.00\ _K_č_-;_-* &quot;-&quot;??\ _K_č_-;_-@_-"/>
    <numFmt numFmtId="165" formatCode="#,##0.00000"/>
    <numFmt numFmtId="166" formatCode="#,##0.000000"/>
  </numFmts>
  <fonts count="5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strike/>
      <sz val="10"/>
      <name val="Arial"/>
      <family val="2"/>
      <charset val="238"/>
    </font>
    <font>
      <b/>
      <strike/>
      <sz val="10"/>
      <name val="Arial"/>
      <family val="2"/>
      <charset val="238"/>
    </font>
    <font>
      <strike/>
      <sz val="10"/>
      <color rgb="FF0000FB"/>
      <name val="Arial"/>
      <family val="2"/>
      <charset val="238"/>
    </font>
    <font>
      <sz val="10"/>
      <color rgb="FF0000FB"/>
      <name val="Arial"/>
      <family val="2"/>
      <charset val="238"/>
    </font>
    <font>
      <b/>
      <sz val="10"/>
      <color rgb="FF0000FB"/>
      <name val="Arial"/>
      <family val="2"/>
      <charset val="238"/>
    </font>
    <font>
      <sz val="10"/>
      <color theme="1"/>
      <name val="Arial"/>
      <family val="2"/>
      <charset val="238"/>
    </font>
    <font>
      <b/>
      <sz val="14"/>
      <name val="Arial"/>
      <family val="2"/>
      <charset val="238"/>
    </font>
    <font>
      <b/>
      <sz val="10"/>
      <color theme="1"/>
      <name val="Arial"/>
      <family val="2"/>
      <charset val="238"/>
    </font>
    <font>
      <strike/>
      <sz val="10"/>
      <color rgb="FFFF0000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Arial"/>
      <family val="2"/>
      <charset val="238"/>
    </font>
    <font>
      <sz val="11"/>
      <name val="Calibri"/>
      <family val="2"/>
      <scheme val="minor"/>
    </font>
    <font>
      <strike/>
      <sz val="11"/>
      <name val="Calibri"/>
      <family val="2"/>
      <scheme val="minor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trike/>
      <sz val="10"/>
      <color rgb="FFFF0000"/>
      <name val="Arial"/>
      <family val="2"/>
      <charset val="238"/>
    </font>
    <font>
      <sz val="8"/>
      <name val="Calibri"/>
      <family val="2"/>
      <scheme val="minor"/>
    </font>
    <font>
      <b/>
      <strike/>
      <sz val="10"/>
      <color rgb="FF0000FB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Arial"/>
      <family val="2"/>
      <charset val="238"/>
    </font>
    <font>
      <b/>
      <strike/>
      <sz val="12"/>
      <color rgb="FF0000FB"/>
      <name val="Arial"/>
      <family val="2"/>
      <charset val="238"/>
    </font>
    <font>
      <b/>
      <strike/>
      <sz val="12"/>
      <name val="Arial"/>
      <family val="2"/>
      <charset val="238"/>
    </font>
    <font>
      <b/>
      <sz val="24"/>
      <name val="Arial"/>
      <family val="2"/>
      <charset val="238"/>
    </font>
    <font>
      <sz val="11"/>
      <color rgb="FF0000FB"/>
      <name val="Arial"/>
      <family val="2"/>
      <charset val="238"/>
    </font>
    <font>
      <strike/>
      <sz val="11"/>
      <name val="Arial"/>
      <family val="2"/>
      <charset val="238"/>
    </font>
    <font>
      <b/>
      <strike/>
      <sz val="12"/>
      <color rgb="FFFF0000"/>
      <name val="Arial"/>
      <family val="2"/>
      <charset val="238"/>
    </font>
    <font>
      <sz val="11"/>
      <color rgb="FFFF0000"/>
      <name val="Arial"/>
      <family val="2"/>
      <charset val="238"/>
    </font>
    <font>
      <strike/>
      <sz val="11"/>
      <color rgb="FF0000FB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2"/>
      <color rgb="FF0000FB"/>
      <name val="Arial"/>
      <family val="2"/>
      <charset val="238"/>
    </font>
    <font>
      <b/>
      <sz val="22"/>
      <name val="Arial"/>
      <family val="2"/>
      <charset val="238"/>
    </font>
    <font>
      <sz val="12"/>
      <color theme="1"/>
      <name val="Arial"/>
      <family val="2"/>
      <charset val="238"/>
    </font>
  </fonts>
  <fills count="19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8CBAD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rgb="FF000000"/>
      </patternFill>
    </fill>
    <fill>
      <patternFill patternType="solid">
        <fgColor rgb="FFFFFF00"/>
        <bgColor indexed="64"/>
      </patternFill>
    </fill>
  </fills>
  <borders count="8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45">
    <xf numFmtId="0" fontId="0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9" fillId="0" borderId="0"/>
    <xf numFmtId="0" fontId="11" fillId="0" borderId="0"/>
    <xf numFmtId="164" fontId="26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8" fillId="0" borderId="0"/>
    <xf numFmtId="0" fontId="27" fillId="0" borderId="0"/>
    <xf numFmtId="0" fontId="7" fillId="0" borderId="0"/>
    <xf numFmtId="0" fontId="7" fillId="0" borderId="0"/>
    <xf numFmtId="164" fontId="7" fillId="0" borderId="0" applyFont="0" applyFill="0" applyBorder="0" applyAlignment="0" applyProtection="0"/>
    <xf numFmtId="0" fontId="7" fillId="0" borderId="0"/>
    <xf numFmtId="0" fontId="6" fillId="0" borderId="0"/>
    <xf numFmtId="0" fontId="6" fillId="0" borderId="0"/>
    <xf numFmtId="164" fontId="2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0" fontId="6" fillId="0" borderId="0"/>
    <xf numFmtId="0" fontId="5" fillId="0" borderId="0"/>
    <xf numFmtId="0" fontId="5" fillId="0" borderId="0"/>
    <xf numFmtId="164" fontId="26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164" fontId="26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0" fontId="5" fillId="0" borderId="0"/>
    <xf numFmtId="0" fontId="4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2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2829">
    <xf numFmtId="0" fontId="0" fillId="0" borderId="0" xfId="0"/>
    <xf numFmtId="0" fontId="11" fillId="0" borderId="0" xfId="0" applyFont="1" applyAlignment="1">
      <alignment vertical="center"/>
    </xf>
    <xf numFmtId="0" fontId="11" fillId="0" borderId="18" xfId="0" applyFont="1" applyBorder="1" applyAlignment="1">
      <alignment horizontal="center" vertical="center" wrapText="1"/>
    </xf>
    <xf numFmtId="0" fontId="11" fillId="0" borderId="0" xfId="0" applyFont="1"/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/>
    </xf>
    <xf numFmtId="49" fontId="13" fillId="0" borderId="0" xfId="0" applyNumberFormat="1" applyFont="1" applyAlignment="1">
      <alignment horizontal="center" vertical="center"/>
    </xf>
    <xf numFmtId="0" fontId="13" fillId="5" borderId="18" xfId="0" applyFont="1" applyFill="1" applyBorder="1" applyAlignment="1">
      <alignment horizontal="center" vertical="center" wrapText="1"/>
    </xf>
    <xf numFmtId="4" fontId="13" fillId="5" borderId="18" xfId="1" applyNumberFormat="1" applyFont="1" applyFill="1" applyBorder="1" applyAlignment="1">
      <alignment horizontal="center" vertical="center" wrapText="1"/>
    </xf>
    <xf numFmtId="49" fontId="13" fillId="5" borderId="18" xfId="0" applyNumberFormat="1" applyFont="1" applyFill="1" applyBorder="1" applyAlignment="1">
      <alignment horizontal="center" vertical="center" wrapText="1"/>
    </xf>
    <xf numFmtId="3" fontId="13" fillId="5" borderId="18" xfId="1" applyNumberFormat="1" applyFont="1" applyFill="1" applyBorder="1" applyAlignment="1">
      <alignment horizontal="center" vertical="center" wrapText="1"/>
    </xf>
    <xf numFmtId="49" fontId="13" fillId="5" borderId="18" xfId="1" applyNumberFormat="1" applyFont="1" applyFill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0" fontId="13" fillId="5" borderId="6" xfId="0" applyFont="1" applyFill="1" applyBorder="1" applyAlignment="1">
      <alignment horizontal="center" vertical="center" wrapText="1"/>
    </xf>
    <xf numFmtId="49" fontId="18" fillId="0" borderId="26" xfId="0" applyNumberFormat="1" applyFont="1" applyBorder="1" applyAlignment="1">
      <alignment horizontal="center" vertical="center" wrapText="1"/>
    </xf>
    <xf numFmtId="49" fontId="11" fillId="0" borderId="13" xfId="0" applyNumberFormat="1" applyFont="1" applyBorder="1" applyAlignment="1">
      <alignment horizontal="center" vertical="center" wrapText="1"/>
    </xf>
    <xf numFmtId="3" fontId="11" fillId="0" borderId="0" xfId="0" applyNumberFormat="1" applyFont="1" applyAlignment="1">
      <alignment horizontal="right" vertical="center"/>
    </xf>
    <xf numFmtId="49" fontId="13" fillId="0" borderId="0" xfId="0" applyNumberFormat="1" applyFont="1" applyAlignment="1">
      <alignment horizontal="center"/>
    </xf>
    <xf numFmtId="49" fontId="18" fillId="0" borderId="23" xfId="0" applyNumberFormat="1" applyFont="1" applyBorder="1" applyAlignment="1">
      <alignment horizontal="center" vertical="center" wrapText="1"/>
    </xf>
    <xf numFmtId="49" fontId="18" fillId="0" borderId="13" xfId="0" applyNumberFormat="1" applyFont="1" applyBorder="1" applyAlignment="1">
      <alignment horizontal="center" vertical="center" wrapText="1"/>
    </xf>
    <xf numFmtId="49" fontId="11" fillId="0" borderId="14" xfId="0" applyNumberFormat="1" applyFont="1" applyBorder="1" applyAlignment="1">
      <alignment horizontal="center" vertical="center" wrapText="1"/>
    </xf>
    <xf numFmtId="49" fontId="11" fillId="0" borderId="30" xfId="0" applyNumberFormat="1" applyFont="1" applyBorder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/>
    </xf>
    <xf numFmtId="49" fontId="18" fillId="0" borderId="26" xfId="0" applyNumberFormat="1" applyFont="1" applyBorder="1" applyAlignment="1">
      <alignment horizontal="center" vertical="center"/>
    </xf>
    <xf numFmtId="3" fontId="13" fillId="0" borderId="0" xfId="0" applyNumberFormat="1" applyFont="1" applyAlignment="1">
      <alignment vertical="center"/>
    </xf>
    <xf numFmtId="0" fontId="11" fillId="4" borderId="24" xfId="0" applyFont="1" applyFill="1" applyBorder="1" applyAlignment="1">
      <alignment horizontal="center" vertical="center" wrapText="1"/>
    </xf>
    <xf numFmtId="0" fontId="11" fillId="4" borderId="32" xfId="0" applyFont="1" applyFill="1" applyBorder="1" applyAlignment="1">
      <alignment horizontal="center" vertical="center" wrapText="1"/>
    </xf>
    <xf numFmtId="0" fontId="11" fillId="4" borderId="29" xfId="0" applyFont="1" applyFill="1" applyBorder="1" applyAlignment="1">
      <alignment horizontal="center" vertical="center" wrapText="1"/>
    </xf>
    <xf numFmtId="3" fontId="11" fillId="0" borderId="0" xfId="0" applyNumberFormat="1" applyFont="1" applyAlignment="1">
      <alignment vertical="center"/>
    </xf>
    <xf numFmtId="49" fontId="18" fillId="0" borderId="14" xfId="0" applyNumberFormat="1" applyFont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11" fillId="4" borderId="26" xfId="0" applyFont="1" applyFill="1" applyBorder="1" applyAlignment="1">
      <alignment horizontal="center" vertical="center" wrapText="1"/>
    </xf>
    <xf numFmtId="0" fontId="11" fillId="2" borderId="32" xfId="0" applyFont="1" applyFill="1" applyBorder="1" applyAlignment="1">
      <alignment horizontal="center" vertical="center" wrapText="1"/>
    </xf>
    <xf numFmtId="0" fontId="11" fillId="4" borderId="23" xfId="0" applyFont="1" applyFill="1" applyBorder="1" applyAlignment="1">
      <alignment horizontal="center" vertical="center" wrapText="1"/>
    </xf>
    <xf numFmtId="49" fontId="18" fillId="0" borderId="13" xfId="0" applyNumberFormat="1" applyFont="1" applyBorder="1" applyAlignment="1">
      <alignment horizontal="center" vertical="center"/>
    </xf>
    <xf numFmtId="3" fontId="13" fillId="4" borderId="23" xfId="1" applyNumberFormat="1" applyFont="1" applyFill="1" applyBorder="1" applyAlignment="1">
      <alignment vertical="center" wrapText="1"/>
    </xf>
    <xf numFmtId="0" fontId="11" fillId="4" borderId="22" xfId="0" applyFont="1" applyFill="1" applyBorder="1" applyAlignment="1">
      <alignment horizontal="center" vertical="center" wrapText="1"/>
    </xf>
    <xf numFmtId="0" fontId="11" fillId="4" borderId="31" xfId="0" applyFont="1" applyFill="1" applyBorder="1" applyAlignment="1">
      <alignment horizontal="center" vertical="center" wrapText="1"/>
    </xf>
    <xf numFmtId="3" fontId="11" fillId="0" borderId="14" xfId="0" applyNumberFormat="1" applyFont="1" applyBorder="1" applyAlignment="1">
      <alignment horizontal="center" vertical="center" wrapText="1"/>
    </xf>
    <xf numFmtId="0" fontId="11" fillId="2" borderId="23" xfId="0" applyFont="1" applyFill="1" applyBorder="1" applyAlignment="1">
      <alignment horizontal="center" vertical="center"/>
    </xf>
    <xf numFmtId="0" fontId="11" fillId="2" borderId="23" xfId="0" applyFont="1" applyFill="1" applyBorder="1" applyAlignment="1">
      <alignment horizontal="center" vertical="center" wrapText="1"/>
    </xf>
    <xf numFmtId="0" fontId="11" fillId="2" borderId="26" xfId="0" applyFont="1" applyFill="1" applyBorder="1" applyAlignment="1">
      <alignment horizontal="center" vertical="center" wrapText="1"/>
    </xf>
    <xf numFmtId="0" fontId="15" fillId="2" borderId="26" xfId="0" applyFont="1" applyFill="1" applyBorder="1" applyAlignment="1">
      <alignment horizontal="center" vertical="center" wrapText="1"/>
    </xf>
    <xf numFmtId="0" fontId="11" fillId="4" borderId="28" xfId="0" applyFont="1" applyFill="1" applyBorder="1" applyAlignment="1">
      <alignment horizontal="center" vertical="center" wrapText="1"/>
    </xf>
    <xf numFmtId="3" fontId="13" fillId="2" borderId="23" xfId="1" applyNumberFormat="1" applyFont="1" applyFill="1" applyBorder="1" applyAlignment="1">
      <alignment vertical="center" wrapText="1"/>
    </xf>
    <xf numFmtId="3" fontId="11" fillId="2" borderId="37" xfId="0" applyNumberFormat="1" applyFont="1" applyFill="1" applyBorder="1" applyAlignment="1">
      <alignment vertical="center" wrapText="1"/>
    </xf>
    <xf numFmtId="0" fontId="11" fillId="2" borderId="2" xfId="0" applyFont="1" applyFill="1" applyBorder="1" applyAlignment="1">
      <alignment horizontal="center" vertical="center" wrapText="1"/>
    </xf>
    <xf numFmtId="3" fontId="13" fillId="2" borderId="26" xfId="1" applyNumberFormat="1" applyFont="1" applyFill="1" applyBorder="1" applyAlignment="1">
      <alignment vertical="center" wrapText="1"/>
    </xf>
    <xf numFmtId="3" fontId="11" fillId="2" borderId="25" xfId="0" applyNumberFormat="1" applyFont="1" applyFill="1" applyBorder="1" applyAlignment="1">
      <alignment vertical="center" wrapText="1"/>
    </xf>
    <xf numFmtId="49" fontId="11" fillId="2" borderId="26" xfId="0" applyNumberFormat="1" applyFont="1" applyFill="1" applyBorder="1" applyAlignment="1">
      <alignment horizontal="center" vertical="center" wrapText="1"/>
    </xf>
    <xf numFmtId="3" fontId="11" fillId="2" borderId="31" xfId="0" applyNumberFormat="1" applyFont="1" applyFill="1" applyBorder="1" applyAlignment="1">
      <alignment vertical="center" wrapText="1"/>
    </xf>
    <xf numFmtId="0" fontId="20" fillId="2" borderId="24" xfId="0" applyFont="1" applyFill="1" applyBorder="1" applyAlignment="1">
      <alignment horizontal="center" vertical="center" wrapText="1"/>
    </xf>
    <xf numFmtId="0" fontId="11" fillId="2" borderId="24" xfId="0" applyFont="1" applyFill="1" applyBorder="1" applyAlignment="1">
      <alignment horizontal="center" vertical="center" wrapText="1"/>
    </xf>
    <xf numFmtId="3" fontId="11" fillId="2" borderId="31" xfId="0" applyNumberFormat="1" applyFont="1" applyFill="1" applyBorder="1" applyAlignment="1">
      <alignment vertical="center"/>
    </xf>
    <xf numFmtId="3" fontId="11" fillId="2" borderId="26" xfId="0" applyNumberFormat="1" applyFont="1" applyFill="1" applyBorder="1" applyAlignment="1">
      <alignment vertical="center" wrapText="1"/>
    </xf>
    <xf numFmtId="3" fontId="11" fillId="2" borderId="23" xfId="0" applyNumberFormat="1" applyFont="1" applyFill="1" applyBorder="1" applyAlignment="1">
      <alignment vertical="center" wrapText="1"/>
    </xf>
    <xf numFmtId="0" fontId="11" fillId="2" borderId="13" xfId="0" applyFont="1" applyFill="1" applyBorder="1" applyAlignment="1">
      <alignment horizontal="center" vertical="center" wrapText="1"/>
    </xf>
    <xf numFmtId="3" fontId="13" fillId="2" borderId="13" xfId="1" applyNumberFormat="1" applyFont="1" applyFill="1" applyBorder="1" applyAlignment="1">
      <alignment vertical="center" wrapText="1"/>
    </xf>
    <xf numFmtId="3" fontId="11" fillId="2" borderId="25" xfId="0" applyNumberFormat="1" applyFont="1" applyFill="1" applyBorder="1" applyAlignment="1">
      <alignment vertical="center"/>
    </xf>
    <xf numFmtId="3" fontId="11" fillId="2" borderId="27" xfId="0" applyNumberFormat="1" applyFont="1" applyFill="1" applyBorder="1" applyAlignment="1">
      <alignment vertical="center" wrapText="1"/>
    </xf>
    <xf numFmtId="0" fontId="11" fillId="2" borderId="31" xfId="0" applyFont="1" applyFill="1" applyBorder="1" applyAlignment="1">
      <alignment horizontal="center" vertical="center" wrapText="1"/>
    </xf>
    <xf numFmtId="3" fontId="11" fillId="2" borderId="23" xfId="0" applyNumberFormat="1" applyFont="1" applyFill="1" applyBorder="1" applyAlignment="1">
      <alignment vertical="center"/>
    </xf>
    <xf numFmtId="0" fontId="11" fillId="2" borderId="26" xfId="0" applyFont="1" applyFill="1" applyBorder="1" applyAlignment="1">
      <alignment horizontal="center" vertical="center"/>
    </xf>
    <xf numFmtId="3" fontId="11" fillId="2" borderId="37" xfId="0" applyNumberFormat="1" applyFont="1" applyFill="1" applyBorder="1" applyAlignment="1">
      <alignment vertical="center"/>
    </xf>
    <xf numFmtId="3" fontId="11" fillId="2" borderId="26" xfId="0" applyNumberFormat="1" applyFont="1" applyFill="1" applyBorder="1" applyAlignment="1">
      <alignment vertical="center"/>
    </xf>
    <xf numFmtId="3" fontId="11" fillId="4" borderId="26" xfId="0" applyNumberFormat="1" applyFont="1" applyFill="1" applyBorder="1" applyAlignment="1">
      <alignment vertical="center"/>
    </xf>
    <xf numFmtId="3" fontId="11" fillId="2" borderId="14" xfId="0" applyNumberFormat="1" applyFont="1" applyFill="1" applyBorder="1" applyAlignment="1">
      <alignment vertical="center" wrapText="1"/>
    </xf>
    <xf numFmtId="0" fontId="11" fillId="2" borderId="18" xfId="0" applyFont="1" applyFill="1" applyBorder="1" applyAlignment="1">
      <alignment horizontal="center" vertical="center" wrapText="1"/>
    </xf>
    <xf numFmtId="3" fontId="11" fillId="2" borderId="1" xfId="0" applyNumberFormat="1" applyFont="1" applyFill="1" applyBorder="1" applyAlignment="1">
      <alignment vertical="center" wrapText="1"/>
    </xf>
    <xf numFmtId="0" fontId="11" fillId="2" borderId="45" xfId="0" applyFont="1" applyFill="1" applyBorder="1" applyAlignment="1">
      <alignment horizontal="center" vertical="center" wrapText="1"/>
    </xf>
    <xf numFmtId="3" fontId="11" fillId="2" borderId="32" xfId="0" applyNumberFormat="1" applyFont="1" applyFill="1" applyBorder="1" applyAlignment="1">
      <alignment horizontal="center" vertical="center" wrapText="1"/>
    </xf>
    <xf numFmtId="3" fontId="11" fillId="2" borderId="13" xfId="0" applyNumberFormat="1" applyFont="1" applyFill="1" applyBorder="1" applyAlignment="1">
      <alignment vertical="center"/>
    </xf>
    <xf numFmtId="49" fontId="11" fillId="0" borderId="1" xfId="0" applyNumberFormat="1" applyFont="1" applyBorder="1" applyAlignment="1">
      <alignment horizontal="center" vertical="center" wrapText="1"/>
    </xf>
    <xf numFmtId="0" fontId="13" fillId="0" borderId="18" xfId="1" applyFont="1" applyBorder="1" applyAlignment="1">
      <alignment horizontal="center" vertical="center" wrapText="1"/>
    </xf>
    <xf numFmtId="4" fontId="13" fillId="0" borderId="18" xfId="0" applyNumberFormat="1" applyFont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166" fontId="13" fillId="0" borderId="14" xfId="0" applyNumberFormat="1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3" fontId="11" fillId="0" borderId="16" xfId="0" applyNumberFormat="1" applyFont="1" applyBorder="1" applyAlignment="1">
      <alignment horizontal="center" vertical="center" wrapText="1"/>
    </xf>
    <xf numFmtId="49" fontId="11" fillId="4" borderId="26" xfId="0" applyNumberFormat="1" applyFont="1" applyFill="1" applyBorder="1" applyAlignment="1">
      <alignment horizontal="center" vertical="center" wrapText="1"/>
    </xf>
    <xf numFmtId="3" fontId="13" fillId="2" borderId="25" xfId="1" applyNumberFormat="1" applyFont="1" applyFill="1" applyBorder="1" applyAlignment="1">
      <alignment vertical="center" wrapText="1"/>
    </xf>
    <xf numFmtId="0" fontId="11" fillId="2" borderId="22" xfId="0" applyFont="1" applyFill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3" fontId="11" fillId="0" borderId="69" xfId="0" applyNumberFormat="1" applyFont="1" applyBorder="1" applyAlignment="1">
      <alignment horizontal="center" vertical="center" wrapText="1"/>
    </xf>
    <xf numFmtId="3" fontId="11" fillId="0" borderId="13" xfId="0" applyNumberFormat="1" applyFont="1" applyBorder="1" applyAlignment="1">
      <alignment horizontal="center" vertical="center" wrapText="1"/>
    </xf>
    <xf numFmtId="3" fontId="11" fillId="0" borderId="72" xfId="0" applyNumberFormat="1" applyFont="1" applyBorder="1" applyAlignment="1">
      <alignment horizontal="center" vertical="center" wrapText="1"/>
    </xf>
    <xf numFmtId="3" fontId="13" fillId="0" borderId="14" xfId="0" applyNumberFormat="1" applyFont="1" applyBorder="1" applyAlignment="1">
      <alignment horizontal="center" vertical="center" wrapText="1"/>
    </xf>
    <xf numFmtId="49" fontId="11" fillId="4" borderId="22" xfId="0" applyNumberFormat="1" applyFont="1" applyFill="1" applyBorder="1" applyAlignment="1">
      <alignment horizontal="center" vertical="center" wrapText="1"/>
    </xf>
    <xf numFmtId="3" fontId="13" fillId="2" borderId="23" xfId="1" applyNumberFormat="1" applyFont="1" applyFill="1" applyBorder="1" applyAlignment="1">
      <alignment vertical="center"/>
    </xf>
    <xf numFmtId="3" fontId="11" fillId="2" borderId="58" xfId="0" applyNumberFormat="1" applyFont="1" applyFill="1" applyBorder="1" applyAlignment="1">
      <alignment vertical="center" wrapText="1"/>
    </xf>
    <xf numFmtId="3" fontId="11" fillId="2" borderId="21" xfId="0" applyNumberFormat="1" applyFont="1" applyFill="1" applyBorder="1" applyAlignment="1">
      <alignment vertical="center" wrapText="1"/>
    </xf>
    <xf numFmtId="3" fontId="11" fillId="2" borderId="24" xfId="0" applyNumberFormat="1" applyFont="1" applyFill="1" applyBorder="1" applyAlignment="1">
      <alignment vertical="center"/>
    </xf>
    <xf numFmtId="49" fontId="11" fillId="2" borderId="26" xfId="0" applyNumberFormat="1" applyFont="1" applyFill="1" applyBorder="1" applyAlignment="1">
      <alignment horizontal="center" vertical="center"/>
    </xf>
    <xf numFmtId="3" fontId="13" fillId="2" borderId="26" xfId="1" applyNumberFormat="1" applyFont="1" applyFill="1" applyBorder="1" applyAlignment="1">
      <alignment vertical="center"/>
    </xf>
    <xf numFmtId="3" fontId="11" fillId="2" borderId="36" xfId="0" applyNumberFormat="1" applyFont="1" applyFill="1" applyBorder="1" applyAlignment="1">
      <alignment vertical="center"/>
    </xf>
    <xf numFmtId="3" fontId="11" fillId="2" borderId="20" xfId="0" applyNumberFormat="1" applyFont="1" applyFill="1" applyBorder="1" applyAlignment="1">
      <alignment vertical="center"/>
    </xf>
    <xf numFmtId="3" fontId="11" fillId="2" borderId="47" xfId="0" applyNumberFormat="1" applyFont="1" applyFill="1" applyBorder="1" applyAlignment="1">
      <alignment vertical="center" wrapText="1"/>
    </xf>
    <xf numFmtId="3" fontId="11" fillId="2" borderId="20" xfId="0" applyNumberFormat="1" applyFont="1" applyFill="1" applyBorder="1" applyAlignment="1">
      <alignment vertical="center" wrapText="1"/>
    </xf>
    <xf numFmtId="3" fontId="11" fillId="2" borderId="32" xfId="0" applyNumberFormat="1" applyFont="1" applyFill="1" applyBorder="1" applyAlignment="1">
      <alignment vertical="center" wrapText="1"/>
    </xf>
    <xf numFmtId="3" fontId="11" fillId="2" borderId="32" xfId="0" applyNumberFormat="1" applyFont="1" applyFill="1" applyBorder="1" applyAlignment="1">
      <alignment horizontal="right" vertical="center"/>
    </xf>
    <xf numFmtId="3" fontId="11" fillId="2" borderId="26" xfId="0" applyNumberFormat="1" applyFont="1" applyFill="1" applyBorder="1" applyAlignment="1">
      <alignment horizontal="right" vertical="center"/>
    </xf>
    <xf numFmtId="3" fontId="13" fillId="2" borderId="13" xfId="1" applyNumberFormat="1" applyFont="1" applyFill="1" applyBorder="1" applyAlignment="1">
      <alignment vertical="center"/>
    </xf>
    <xf numFmtId="3" fontId="13" fillId="2" borderId="30" xfId="1" applyNumberFormat="1" applyFont="1" applyFill="1" applyBorder="1" applyAlignment="1">
      <alignment vertical="center" wrapText="1"/>
    </xf>
    <xf numFmtId="3" fontId="11" fillId="2" borderId="54" xfId="0" applyNumberFormat="1" applyFont="1" applyFill="1" applyBorder="1" applyAlignment="1">
      <alignment vertical="center"/>
    </xf>
    <xf numFmtId="3" fontId="11" fillId="2" borderId="19" xfId="0" applyNumberFormat="1" applyFont="1" applyFill="1" applyBorder="1" applyAlignment="1">
      <alignment vertical="center"/>
    </xf>
    <xf numFmtId="3" fontId="11" fillId="2" borderId="48" xfId="0" applyNumberFormat="1" applyFont="1" applyFill="1" applyBorder="1" applyAlignment="1">
      <alignment vertical="center"/>
    </xf>
    <xf numFmtId="3" fontId="11" fillId="2" borderId="48" xfId="0" applyNumberFormat="1" applyFont="1" applyFill="1" applyBorder="1" applyAlignment="1">
      <alignment vertical="center" wrapText="1"/>
    </xf>
    <xf numFmtId="3" fontId="11" fillId="4" borderId="24" xfId="0" applyNumberFormat="1" applyFont="1" applyFill="1" applyBorder="1" applyAlignment="1">
      <alignment vertical="center"/>
    </xf>
    <xf numFmtId="49" fontId="11" fillId="4" borderId="23" xfId="0" applyNumberFormat="1" applyFont="1" applyFill="1" applyBorder="1" applyAlignment="1">
      <alignment horizontal="center" vertical="center" wrapText="1"/>
    </xf>
    <xf numFmtId="49" fontId="20" fillId="2" borderId="26" xfId="0" applyNumberFormat="1" applyFont="1" applyFill="1" applyBorder="1" applyAlignment="1">
      <alignment horizontal="center" vertical="center" wrapText="1"/>
    </xf>
    <xf numFmtId="3" fontId="13" fillId="2" borderId="13" xfId="0" applyNumberFormat="1" applyFont="1" applyFill="1" applyBorder="1" applyAlignment="1">
      <alignment horizontal="right" vertical="center" wrapText="1"/>
    </xf>
    <xf numFmtId="49" fontId="11" fillId="2" borderId="13" xfId="0" applyNumberFormat="1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49" fontId="11" fillId="2" borderId="23" xfId="0" applyNumberFormat="1" applyFont="1" applyFill="1" applyBorder="1" applyAlignment="1">
      <alignment horizontal="center" vertical="center" wrapText="1"/>
    </xf>
    <xf numFmtId="0" fontId="17" fillId="2" borderId="26" xfId="0" applyFont="1" applyFill="1" applyBorder="1" applyAlignment="1">
      <alignment horizontal="center" vertical="center" wrapText="1"/>
    </xf>
    <xf numFmtId="3" fontId="11" fillId="2" borderId="36" xfId="0" applyNumberFormat="1" applyFont="1" applyFill="1" applyBorder="1" applyAlignment="1">
      <alignment vertical="center" wrapText="1"/>
    </xf>
    <xf numFmtId="3" fontId="11" fillId="2" borderId="54" xfId="0" applyNumberFormat="1" applyFont="1" applyFill="1" applyBorder="1" applyAlignment="1">
      <alignment vertical="center" wrapText="1"/>
    </xf>
    <xf numFmtId="0" fontId="11" fillId="12" borderId="23" xfId="0" applyFont="1" applyFill="1" applyBorder="1" applyAlignment="1">
      <alignment horizontal="center" vertical="center" wrapText="1"/>
    </xf>
    <xf numFmtId="0" fontId="11" fillId="2" borderId="33" xfId="0" applyFont="1" applyFill="1" applyBorder="1" applyAlignment="1">
      <alignment horizontal="center" vertical="center" wrapText="1"/>
    </xf>
    <xf numFmtId="3" fontId="11" fillId="0" borderId="68" xfId="0" applyNumberFormat="1" applyFont="1" applyBorder="1" applyAlignment="1">
      <alignment horizontal="center" vertical="center" wrapText="1"/>
    </xf>
    <xf numFmtId="49" fontId="15" fillId="2" borderId="26" xfId="0" applyNumberFormat="1" applyFont="1" applyFill="1" applyBorder="1" applyAlignment="1">
      <alignment horizontal="center" vertical="center" wrapText="1"/>
    </xf>
    <xf numFmtId="3" fontId="11" fillId="0" borderId="30" xfId="0" applyNumberFormat="1" applyFont="1" applyBorder="1" applyAlignment="1">
      <alignment horizontal="center" vertical="center" wrapText="1"/>
    </xf>
    <xf numFmtId="3" fontId="11" fillId="2" borderId="42" xfId="0" applyNumberFormat="1" applyFont="1" applyFill="1" applyBorder="1" applyAlignment="1">
      <alignment vertical="center" wrapText="1"/>
    </xf>
    <xf numFmtId="3" fontId="13" fillId="4" borderId="28" xfId="1" applyNumberFormat="1" applyFont="1" applyFill="1" applyBorder="1" applyAlignment="1">
      <alignment horizontal="right" vertical="center" wrapText="1"/>
    </xf>
    <xf numFmtId="3" fontId="13" fillId="2" borderId="14" xfId="1" applyNumberFormat="1" applyFont="1" applyFill="1" applyBorder="1" applyAlignment="1">
      <alignment vertical="center" wrapText="1"/>
    </xf>
    <xf numFmtId="3" fontId="11" fillId="4" borderId="26" xfId="0" applyNumberFormat="1" applyFont="1" applyFill="1" applyBorder="1" applyAlignment="1">
      <alignment horizontal="center" vertical="center" wrapText="1"/>
    </xf>
    <xf numFmtId="49" fontId="11" fillId="4" borderId="2" xfId="0" applyNumberFormat="1" applyFont="1" applyFill="1" applyBorder="1" applyAlignment="1">
      <alignment horizontal="center" vertical="center" wrapText="1"/>
    </xf>
    <xf numFmtId="3" fontId="13" fillId="4" borderId="2" xfId="1" applyNumberFormat="1" applyFont="1" applyFill="1" applyBorder="1" applyAlignment="1">
      <alignment horizontal="right" vertical="center" wrapText="1"/>
    </xf>
    <xf numFmtId="3" fontId="13" fillId="4" borderId="23" xfId="1" applyNumberFormat="1" applyFont="1" applyFill="1" applyBorder="1" applyAlignment="1">
      <alignment horizontal="right" vertical="center" wrapText="1"/>
    </xf>
    <xf numFmtId="3" fontId="13" fillId="4" borderId="26" xfId="1" applyNumberFormat="1" applyFont="1" applyFill="1" applyBorder="1" applyAlignment="1">
      <alignment horizontal="right" vertical="center" wrapText="1"/>
    </xf>
    <xf numFmtId="3" fontId="13" fillId="2" borderId="23" xfId="1" applyNumberFormat="1" applyFont="1" applyFill="1" applyBorder="1" applyAlignment="1">
      <alignment horizontal="right" vertical="center" wrapText="1"/>
    </xf>
    <xf numFmtId="3" fontId="11" fillId="2" borderId="24" xfId="0" applyNumberFormat="1" applyFont="1" applyFill="1" applyBorder="1" applyAlignment="1">
      <alignment horizontal="center" vertical="center" wrapText="1"/>
    </xf>
    <xf numFmtId="3" fontId="13" fillId="2" borderId="13" xfId="1" applyNumberFormat="1" applyFont="1" applyFill="1" applyBorder="1" applyAlignment="1">
      <alignment horizontal="right" vertical="center" wrapText="1"/>
    </xf>
    <xf numFmtId="3" fontId="11" fillId="2" borderId="61" xfId="0" applyNumberFormat="1" applyFont="1" applyFill="1" applyBorder="1" applyAlignment="1">
      <alignment vertical="center" wrapText="1"/>
    </xf>
    <xf numFmtId="3" fontId="11" fillId="2" borderId="23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3" fontId="13" fillId="2" borderId="31" xfId="1" applyNumberFormat="1" applyFont="1" applyFill="1" applyBorder="1" applyAlignment="1">
      <alignment vertical="center"/>
    </xf>
    <xf numFmtId="3" fontId="11" fillId="2" borderId="42" xfId="0" applyNumberFormat="1" applyFont="1" applyFill="1" applyBorder="1" applyAlignment="1">
      <alignment vertical="center"/>
    </xf>
    <xf numFmtId="0" fontId="11" fillId="2" borderId="13" xfId="0" applyFont="1" applyFill="1" applyBorder="1" applyAlignment="1">
      <alignment horizontal="center" vertical="center"/>
    </xf>
    <xf numFmtId="3" fontId="13" fillId="2" borderId="15" xfId="1" applyNumberFormat="1" applyFont="1" applyFill="1" applyBorder="1" applyAlignment="1">
      <alignment vertical="center"/>
    </xf>
    <xf numFmtId="3" fontId="11" fillId="2" borderId="61" xfId="0" applyNumberFormat="1" applyFont="1" applyFill="1" applyBorder="1" applyAlignment="1">
      <alignment vertical="center"/>
    </xf>
    <xf numFmtId="0" fontId="11" fillId="2" borderId="14" xfId="0" applyFont="1" applyFill="1" applyBorder="1" applyAlignment="1">
      <alignment horizontal="center" vertical="center" wrapText="1"/>
    </xf>
    <xf numFmtId="3" fontId="13" fillId="2" borderId="26" xfId="1" applyNumberFormat="1" applyFont="1" applyFill="1" applyBorder="1" applyAlignment="1">
      <alignment horizontal="right" vertical="center" wrapText="1"/>
    </xf>
    <xf numFmtId="3" fontId="11" fillId="2" borderId="13" xfId="0" applyNumberFormat="1" applyFont="1" applyFill="1" applyBorder="1" applyAlignment="1">
      <alignment horizontal="center" vertical="center" wrapText="1"/>
    </xf>
    <xf numFmtId="49" fontId="11" fillId="0" borderId="14" xfId="0" applyNumberFormat="1" applyFont="1" applyBorder="1" applyAlignment="1">
      <alignment horizontal="center" vertical="center"/>
    </xf>
    <xf numFmtId="3" fontId="13" fillId="2" borderId="4" xfId="1" applyNumberFormat="1" applyFont="1" applyFill="1" applyBorder="1" applyAlignment="1">
      <alignment horizontal="right" vertical="center" wrapText="1"/>
    </xf>
    <xf numFmtId="3" fontId="13" fillId="2" borderId="2" xfId="1" applyNumberFormat="1" applyFont="1" applyFill="1" applyBorder="1" applyAlignment="1">
      <alignment horizontal="right" vertical="center" wrapText="1"/>
    </xf>
    <xf numFmtId="3" fontId="13" fillId="4" borderId="31" xfId="1" applyNumberFormat="1" applyFont="1" applyFill="1" applyBorder="1" applyAlignment="1">
      <alignment horizontal="right" vertical="center" wrapText="1"/>
    </xf>
    <xf numFmtId="3" fontId="13" fillId="2" borderId="25" xfId="1" applyNumberFormat="1" applyFont="1" applyFill="1" applyBorder="1" applyAlignment="1">
      <alignment horizontal="right" vertical="center" wrapText="1"/>
    </xf>
    <xf numFmtId="0" fontId="17" fillId="2" borderId="45" xfId="0" applyFont="1" applyFill="1" applyBorder="1" applyAlignment="1">
      <alignment horizontal="center" vertical="center" wrapText="1"/>
    </xf>
    <xf numFmtId="3" fontId="11" fillId="0" borderId="14" xfId="0" applyNumberFormat="1" applyFont="1" applyBorder="1" applyAlignment="1">
      <alignment horizontal="right" vertical="center" wrapText="1"/>
    </xf>
    <xf numFmtId="3" fontId="13" fillId="0" borderId="18" xfId="0" applyNumberFormat="1" applyFont="1" applyBorder="1" applyAlignment="1">
      <alignment horizontal="center" vertical="center" wrapText="1"/>
    </xf>
    <xf numFmtId="4" fontId="13" fillId="0" borderId="69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13" fillId="0" borderId="14" xfId="0" applyNumberFormat="1" applyFont="1" applyBorder="1" applyAlignment="1">
      <alignment horizontal="right" vertical="center" wrapText="1"/>
    </xf>
    <xf numFmtId="49" fontId="13" fillId="0" borderId="16" xfId="0" applyNumberFormat="1" applyFont="1" applyBorder="1" applyAlignment="1">
      <alignment horizontal="center" vertical="center" wrapText="1"/>
    </xf>
    <xf numFmtId="49" fontId="13" fillId="0" borderId="30" xfId="0" applyNumberFormat="1" applyFont="1" applyBorder="1" applyAlignment="1">
      <alignment horizontal="center" vertical="center" wrapText="1"/>
    </xf>
    <xf numFmtId="49" fontId="18" fillId="0" borderId="18" xfId="0" applyNumberFormat="1" applyFont="1" applyBorder="1" applyAlignment="1">
      <alignment horizontal="center" vertical="center" wrapText="1"/>
    </xf>
    <xf numFmtId="3" fontId="13" fillId="4" borderId="22" xfId="1" applyNumberFormat="1" applyFont="1" applyFill="1" applyBorder="1" applyAlignment="1">
      <alignment horizontal="right" vertical="center" wrapText="1"/>
    </xf>
    <xf numFmtId="3" fontId="11" fillId="2" borderId="25" xfId="0" applyNumberFormat="1" applyFont="1" applyFill="1" applyBorder="1" applyAlignment="1">
      <alignment horizontal="right" vertical="center" wrapText="1"/>
    </xf>
    <xf numFmtId="3" fontId="11" fillId="2" borderId="23" xfId="0" applyNumberFormat="1" applyFont="1" applyFill="1" applyBorder="1" applyAlignment="1">
      <alignment horizontal="center" vertical="center" wrapText="1"/>
    </xf>
    <xf numFmtId="3" fontId="11" fillId="0" borderId="0" xfId="0" applyNumberFormat="1" applyFont="1" applyAlignment="1">
      <alignment vertical="center" wrapText="1"/>
    </xf>
    <xf numFmtId="0" fontId="11" fillId="0" borderId="16" xfId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3" fontId="13" fillId="5" borderId="18" xfId="1" applyNumberFormat="1" applyFont="1" applyFill="1" applyBorder="1" applyAlignment="1">
      <alignment vertical="center" wrapText="1"/>
    </xf>
    <xf numFmtId="3" fontId="13" fillId="5" borderId="6" xfId="1" applyNumberFormat="1" applyFont="1" applyFill="1" applyBorder="1" applyAlignment="1">
      <alignment vertical="center" wrapText="1"/>
    </xf>
    <xf numFmtId="3" fontId="11" fillId="0" borderId="45" xfId="0" applyNumberFormat="1" applyFont="1" applyBorder="1" applyAlignment="1">
      <alignment horizontal="center" vertical="center" wrapText="1"/>
    </xf>
    <xf numFmtId="3" fontId="11" fillId="2" borderId="26" xfId="0" applyNumberFormat="1" applyFont="1" applyFill="1" applyBorder="1" applyAlignment="1">
      <alignment horizontal="center" vertical="center" wrapText="1"/>
    </xf>
    <xf numFmtId="3" fontId="11" fillId="2" borderId="14" xfId="0" applyNumberFormat="1" applyFont="1" applyFill="1" applyBorder="1" applyAlignment="1">
      <alignment horizontal="center" vertical="center" wrapText="1"/>
    </xf>
    <xf numFmtId="3" fontId="11" fillId="2" borderId="18" xfId="0" applyNumberFormat="1" applyFont="1" applyFill="1" applyBorder="1" applyAlignment="1">
      <alignment horizontal="center" vertical="center" wrapText="1"/>
    </xf>
    <xf numFmtId="3" fontId="13" fillId="10" borderId="18" xfId="0" applyNumberFormat="1" applyFont="1" applyFill="1" applyBorder="1" applyAlignment="1">
      <alignment horizontal="center" vertical="center" wrapText="1"/>
    </xf>
    <xf numFmtId="3" fontId="11" fillId="2" borderId="2" xfId="0" applyNumberFormat="1" applyFont="1" applyFill="1" applyBorder="1" applyAlignment="1">
      <alignment horizontal="center" vertical="center" wrapText="1"/>
    </xf>
    <xf numFmtId="49" fontId="11" fillId="2" borderId="23" xfId="0" applyNumberFormat="1" applyFont="1" applyFill="1" applyBorder="1" applyAlignment="1">
      <alignment horizontal="center" vertical="center"/>
    </xf>
    <xf numFmtId="3" fontId="11" fillId="4" borderId="22" xfId="0" applyNumberFormat="1" applyFont="1" applyFill="1" applyBorder="1" applyAlignment="1">
      <alignment horizontal="center" vertical="center" wrapText="1"/>
    </xf>
    <xf numFmtId="0" fontId="17" fillId="2" borderId="13" xfId="0" applyFont="1" applyFill="1" applyBorder="1" applyAlignment="1">
      <alignment horizontal="center" vertical="center" wrapText="1"/>
    </xf>
    <xf numFmtId="3" fontId="11" fillId="2" borderId="16" xfId="0" applyNumberFormat="1" applyFont="1" applyFill="1" applyBorder="1" applyAlignment="1">
      <alignment horizontal="center" vertical="center" wrapText="1"/>
    </xf>
    <xf numFmtId="3" fontId="13" fillId="3" borderId="14" xfId="0" applyNumberFormat="1" applyFont="1" applyFill="1" applyBorder="1" applyAlignment="1">
      <alignment horizontal="right" vertical="center" wrapText="1"/>
    </xf>
    <xf numFmtId="3" fontId="18" fillId="3" borderId="13" xfId="0" applyNumberFormat="1" applyFont="1" applyFill="1" applyBorder="1" applyAlignment="1">
      <alignment horizontal="right" vertical="center" wrapText="1"/>
    </xf>
    <xf numFmtId="3" fontId="18" fillId="3" borderId="23" xfId="0" applyNumberFormat="1" applyFont="1" applyFill="1" applyBorder="1" applyAlignment="1">
      <alignment horizontal="right" vertical="center" wrapText="1"/>
    </xf>
    <xf numFmtId="3" fontId="18" fillId="3" borderId="26" xfId="0" applyNumberFormat="1" applyFont="1" applyFill="1" applyBorder="1" applyAlignment="1">
      <alignment horizontal="right" vertical="center" wrapText="1"/>
    </xf>
    <xf numFmtId="3" fontId="18" fillId="3" borderId="14" xfId="0" applyNumberFormat="1" applyFont="1" applyFill="1" applyBorder="1" applyAlignment="1">
      <alignment horizontal="right" vertical="center" wrapText="1"/>
    </xf>
    <xf numFmtId="49" fontId="11" fillId="2" borderId="18" xfId="0" applyNumberFormat="1" applyFont="1" applyFill="1" applyBorder="1" applyAlignment="1">
      <alignment horizontal="center" vertical="center"/>
    </xf>
    <xf numFmtId="4" fontId="11" fillId="0" borderId="1" xfId="0" applyNumberFormat="1" applyFont="1" applyBorder="1" applyAlignment="1">
      <alignment horizontal="right" vertical="center" wrapText="1"/>
    </xf>
    <xf numFmtId="49" fontId="17" fillId="2" borderId="13" xfId="0" applyNumberFormat="1" applyFont="1" applyFill="1" applyBorder="1" applyAlignment="1">
      <alignment horizontal="center" vertical="center" wrapText="1"/>
    </xf>
    <xf numFmtId="0" fontId="11" fillId="2" borderId="30" xfId="0" applyFont="1" applyFill="1" applyBorder="1" applyAlignment="1">
      <alignment horizontal="center" vertical="center" wrapText="1"/>
    </xf>
    <xf numFmtId="49" fontId="11" fillId="2" borderId="14" xfId="0" applyNumberFormat="1" applyFont="1" applyFill="1" applyBorder="1" applyAlignment="1">
      <alignment horizontal="center" vertical="center" wrapText="1"/>
    </xf>
    <xf numFmtId="3" fontId="11" fillId="4" borderId="22" xfId="0" applyNumberFormat="1" applyFont="1" applyFill="1" applyBorder="1" applyAlignment="1">
      <alignment horizontal="right" vertical="center" wrapText="1"/>
    </xf>
    <xf numFmtId="3" fontId="18" fillId="3" borderId="18" xfId="0" applyNumberFormat="1" applyFont="1" applyFill="1" applyBorder="1" applyAlignment="1">
      <alignment horizontal="right" vertical="center" wrapText="1"/>
    </xf>
    <xf numFmtId="3" fontId="11" fillId="2" borderId="20" xfId="0" applyNumberFormat="1" applyFont="1" applyFill="1" applyBorder="1" applyAlignment="1">
      <alignment horizontal="right" vertical="center"/>
    </xf>
    <xf numFmtId="0" fontId="11" fillId="2" borderId="33" xfId="0" applyFont="1" applyFill="1" applyBorder="1" applyAlignment="1">
      <alignment horizontal="center" vertical="center"/>
    </xf>
    <xf numFmtId="166" fontId="13" fillId="0" borderId="0" xfId="0" applyNumberFormat="1" applyFont="1"/>
    <xf numFmtId="166" fontId="13" fillId="0" borderId="0" xfId="0" applyNumberFormat="1" applyFont="1" applyAlignment="1">
      <alignment vertical="center"/>
    </xf>
    <xf numFmtId="49" fontId="11" fillId="2" borderId="18" xfId="0" applyNumberFormat="1" applyFont="1" applyFill="1" applyBorder="1" applyAlignment="1">
      <alignment horizontal="center" vertical="center" wrapText="1"/>
    </xf>
    <xf numFmtId="49" fontId="13" fillId="0" borderId="14" xfId="0" applyNumberFormat="1" applyFont="1" applyBorder="1" applyAlignment="1">
      <alignment horizontal="center" vertical="center" wrapText="1"/>
    </xf>
    <xf numFmtId="4" fontId="13" fillId="14" borderId="16" xfId="0" applyNumberFormat="1" applyFont="1" applyFill="1" applyBorder="1" applyAlignment="1">
      <alignment horizontal="center" vertical="center" wrapText="1"/>
    </xf>
    <xf numFmtId="2" fontId="11" fillId="2" borderId="13" xfId="0" applyNumberFormat="1" applyFont="1" applyFill="1" applyBorder="1" applyAlignment="1">
      <alignment horizontal="center" vertical="center" wrapText="1"/>
    </xf>
    <xf numFmtId="4" fontId="13" fillId="16" borderId="18" xfId="0" applyNumberFormat="1" applyFont="1" applyFill="1" applyBorder="1" applyAlignment="1">
      <alignment horizontal="center" vertical="center" wrapText="1"/>
    </xf>
    <xf numFmtId="4" fontId="13" fillId="16" borderId="12" xfId="0" applyNumberFormat="1" applyFont="1" applyFill="1" applyBorder="1" applyAlignment="1">
      <alignment horizontal="center" vertical="center" wrapText="1"/>
    </xf>
    <xf numFmtId="4" fontId="13" fillId="14" borderId="14" xfId="0" applyNumberFormat="1" applyFont="1" applyFill="1" applyBorder="1" applyAlignment="1">
      <alignment horizontal="center" vertical="center" wrapText="1"/>
    </xf>
    <xf numFmtId="3" fontId="11" fillId="2" borderId="69" xfId="0" applyNumberFormat="1" applyFont="1" applyFill="1" applyBorder="1" applyAlignment="1">
      <alignment vertical="center" wrapText="1"/>
    </xf>
    <xf numFmtId="3" fontId="11" fillId="4" borderId="20" xfId="0" applyNumberFormat="1" applyFont="1" applyFill="1" applyBorder="1" applyAlignment="1">
      <alignment vertical="center"/>
    </xf>
    <xf numFmtId="0" fontId="11" fillId="0" borderId="14" xfId="1" applyBorder="1" applyAlignment="1">
      <alignment horizontal="center" vertical="center" wrapText="1"/>
    </xf>
    <xf numFmtId="0" fontId="15" fillId="2" borderId="16" xfId="0" applyFont="1" applyFill="1" applyBorder="1" applyAlignment="1">
      <alignment horizontal="center" vertical="center" wrapText="1"/>
    </xf>
    <xf numFmtId="4" fontId="13" fillId="7" borderId="16" xfId="0" applyNumberFormat="1" applyFont="1" applyFill="1" applyBorder="1" applyAlignment="1">
      <alignment horizontal="center" vertical="center" wrapText="1"/>
    </xf>
    <xf numFmtId="0" fontId="11" fillId="4" borderId="23" xfId="0" applyFont="1" applyFill="1" applyBorder="1" applyAlignment="1">
      <alignment horizontal="center" vertical="center"/>
    </xf>
    <xf numFmtId="49" fontId="11" fillId="4" borderId="25" xfId="0" applyNumberFormat="1" applyFont="1" applyFill="1" applyBorder="1" applyAlignment="1">
      <alignment horizontal="center" vertical="center" wrapText="1"/>
    </xf>
    <xf numFmtId="0" fontId="11" fillId="4" borderId="26" xfId="0" applyFont="1" applyFill="1" applyBorder="1" applyAlignment="1">
      <alignment horizontal="center" vertical="center"/>
    </xf>
    <xf numFmtId="0" fontId="20" fillId="2" borderId="26" xfId="0" applyFont="1" applyFill="1" applyBorder="1" applyAlignment="1">
      <alignment horizontal="center" vertical="center" wrapText="1"/>
    </xf>
    <xf numFmtId="3" fontId="21" fillId="2" borderId="23" xfId="1" applyNumberFormat="1" applyFont="1" applyFill="1" applyBorder="1" applyAlignment="1">
      <alignment vertical="center" wrapText="1"/>
    </xf>
    <xf numFmtId="3" fontId="21" fillId="2" borderId="23" xfId="1" applyNumberFormat="1" applyFont="1" applyFill="1" applyBorder="1" applyAlignment="1">
      <alignment horizontal="right" vertical="center" wrapText="1"/>
    </xf>
    <xf numFmtId="0" fontId="20" fillId="2" borderId="23" xfId="0" applyFont="1" applyFill="1" applyBorder="1" applyAlignment="1">
      <alignment horizontal="center" vertical="center" wrapText="1"/>
    </xf>
    <xf numFmtId="3" fontId="13" fillId="0" borderId="18" xfId="1" applyNumberFormat="1" applyFont="1" applyBorder="1" applyAlignment="1">
      <alignment horizontal="center" vertical="center" wrapText="1"/>
    </xf>
    <xf numFmtId="0" fontId="11" fillId="4" borderId="25" xfId="0" applyFont="1" applyFill="1" applyBorder="1" applyAlignment="1">
      <alignment horizontal="center" vertical="center" wrapText="1"/>
    </xf>
    <xf numFmtId="3" fontId="36" fillId="3" borderId="23" xfId="0" applyNumberFormat="1" applyFont="1" applyFill="1" applyBorder="1" applyAlignment="1">
      <alignment horizontal="right" vertical="center" wrapText="1"/>
    </xf>
    <xf numFmtId="0" fontId="15" fillId="2" borderId="24" xfId="0" applyFont="1" applyFill="1" applyBorder="1" applyAlignment="1">
      <alignment horizontal="center" vertical="center" wrapText="1"/>
    </xf>
    <xf numFmtId="0" fontId="11" fillId="2" borderId="22" xfId="1" applyFill="1" applyBorder="1" applyAlignment="1">
      <alignment horizontal="center" vertical="center" wrapText="1"/>
    </xf>
    <xf numFmtId="49" fontId="20" fillId="2" borderId="13" xfId="0" applyNumberFormat="1" applyFont="1" applyFill="1" applyBorder="1" applyAlignment="1">
      <alignment horizontal="center" vertical="center" wrapText="1"/>
    </xf>
    <xf numFmtId="0" fontId="20" fillId="2" borderId="13" xfId="0" applyFont="1" applyFill="1" applyBorder="1" applyAlignment="1">
      <alignment horizontal="center" vertical="center" wrapText="1"/>
    </xf>
    <xf numFmtId="0" fontId="20" fillId="2" borderId="45" xfId="0" applyFont="1" applyFill="1" applyBorder="1" applyAlignment="1">
      <alignment horizontal="center" vertical="center" wrapText="1"/>
    </xf>
    <xf numFmtId="3" fontId="21" fillId="2" borderId="13" xfId="1" applyNumberFormat="1" applyFont="1" applyFill="1" applyBorder="1" applyAlignment="1">
      <alignment vertical="center" wrapText="1"/>
    </xf>
    <xf numFmtId="49" fontId="13" fillId="0" borderId="26" xfId="0" applyNumberFormat="1" applyFont="1" applyBorder="1" applyAlignment="1">
      <alignment horizontal="center" vertical="center" wrapText="1"/>
    </xf>
    <xf numFmtId="49" fontId="18" fillId="0" borderId="31" xfId="0" applyNumberFormat="1" applyFont="1" applyBorder="1" applyAlignment="1">
      <alignment horizontal="center" vertical="center" wrapText="1"/>
    </xf>
    <xf numFmtId="3" fontId="13" fillId="3" borderId="13" xfId="0" applyNumberFormat="1" applyFont="1" applyFill="1" applyBorder="1" applyAlignment="1">
      <alignment horizontal="right" vertical="center" wrapText="1"/>
    </xf>
    <xf numFmtId="49" fontId="13" fillId="0" borderId="23" xfId="0" applyNumberFormat="1" applyFont="1" applyBorder="1" applyAlignment="1">
      <alignment horizontal="center" vertical="center" wrapText="1"/>
    </xf>
    <xf numFmtId="49" fontId="13" fillId="0" borderId="13" xfId="0" applyNumberFormat="1" applyFont="1" applyBorder="1" applyAlignment="1">
      <alignment horizontal="center" vertical="center" wrapText="1"/>
    </xf>
    <xf numFmtId="49" fontId="13" fillId="0" borderId="18" xfId="0" applyNumberFormat="1" applyFont="1" applyBorder="1" applyAlignment="1">
      <alignment horizontal="center" vertical="center" wrapText="1"/>
    </xf>
    <xf numFmtId="49" fontId="13" fillId="0" borderId="25" xfId="0" applyNumberFormat="1" applyFont="1" applyBorder="1" applyAlignment="1">
      <alignment horizontal="center" vertical="center" wrapText="1"/>
    </xf>
    <xf numFmtId="3" fontId="13" fillId="3" borderId="23" xfId="0" applyNumberFormat="1" applyFont="1" applyFill="1" applyBorder="1" applyAlignment="1">
      <alignment horizontal="right" vertical="center" wrapText="1"/>
    </xf>
    <xf numFmtId="3" fontId="13" fillId="3" borderId="18" xfId="0" applyNumberFormat="1" applyFont="1" applyFill="1" applyBorder="1" applyAlignment="1">
      <alignment horizontal="right" vertical="center" wrapText="1"/>
    </xf>
    <xf numFmtId="3" fontId="13" fillId="3" borderId="26" xfId="0" applyNumberFormat="1" applyFont="1" applyFill="1" applyBorder="1" applyAlignment="1">
      <alignment horizontal="right" vertical="center" wrapText="1"/>
    </xf>
    <xf numFmtId="3" fontId="13" fillId="3" borderId="2" xfId="0" applyNumberFormat="1" applyFont="1" applyFill="1" applyBorder="1" applyAlignment="1">
      <alignment horizontal="right" vertical="center" wrapText="1"/>
    </xf>
    <xf numFmtId="3" fontId="13" fillId="3" borderId="27" xfId="0" applyNumberFormat="1" applyFont="1" applyFill="1" applyBorder="1" applyAlignment="1">
      <alignment horizontal="right" vertical="center" wrapText="1"/>
    </xf>
    <xf numFmtId="3" fontId="13" fillId="3" borderId="24" xfId="0" applyNumberFormat="1" applyFont="1" applyFill="1" applyBorder="1" applyAlignment="1">
      <alignment horizontal="right" vertical="center" wrapText="1"/>
    </xf>
    <xf numFmtId="3" fontId="13" fillId="3" borderId="32" xfId="0" applyNumberFormat="1" applyFont="1" applyFill="1" applyBorder="1" applyAlignment="1">
      <alignment horizontal="right" vertical="center"/>
    </xf>
    <xf numFmtId="3" fontId="13" fillId="3" borderId="45" xfId="0" applyNumberFormat="1" applyFont="1" applyFill="1" applyBorder="1" applyAlignment="1">
      <alignment horizontal="right" vertical="center"/>
    </xf>
    <xf numFmtId="3" fontId="13" fillId="3" borderId="32" xfId="0" applyNumberFormat="1" applyFont="1" applyFill="1" applyBorder="1" applyAlignment="1">
      <alignment horizontal="right" vertical="center" wrapText="1"/>
    </xf>
    <xf numFmtId="3" fontId="13" fillId="3" borderId="35" xfId="0" applyNumberFormat="1" applyFont="1" applyFill="1" applyBorder="1" applyAlignment="1">
      <alignment horizontal="right" vertical="center"/>
    </xf>
    <xf numFmtId="3" fontId="18" fillId="3" borderId="2" xfId="0" applyNumberFormat="1" applyFont="1" applyFill="1" applyBorder="1" applyAlignment="1">
      <alignment horizontal="right" vertical="center" wrapText="1"/>
    </xf>
    <xf numFmtId="49" fontId="18" fillId="0" borderId="14" xfId="0" applyNumberFormat="1" applyFont="1" applyBorder="1" applyAlignment="1">
      <alignment horizontal="center" vertical="center"/>
    </xf>
    <xf numFmtId="49" fontId="36" fillId="0" borderId="26" xfId="0" applyNumberFormat="1" applyFont="1" applyBorder="1" applyAlignment="1">
      <alignment horizontal="center" vertical="center" wrapText="1"/>
    </xf>
    <xf numFmtId="3" fontId="36" fillId="3" borderId="26" xfId="0" applyNumberFormat="1" applyFont="1" applyFill="1" applyBorder="1" applyAlignment="1">
      <alignment horizontal="right" vertical="center" wrapText="1"/>
    </xf>
    <xf numFmtId="49" fontId="13" fillId="0" borderId="33" xfId="0" applyNumberFormat="1" applyFont="1" applyBorder="1" applyAlignment="1">
      <alignment horizontal="center" vertical="center" wrapText="1"/>
    </xf>
    <xf numFmtId="49" fontId="36" fillId="0" borderId="13" xfId="0" applyNumberFormat="1" applyFont="1" applyBorder="1" applyAlignment="1">
      <alignment horizontal="center" vertical="center" wrapText="1"/>
    </xf>
    <xf numFmtId="49" fontId="36" fillId="0" borderId="23" xfId="0" applyNumberFormat="1" applyFont="1" applyBorder="1" applyAlignment="1">
      <alignment horizontal="center" vertical="center" wrapText="1"/>
    </xf>
    <xf numFmtId="3" fontId="18" fillId="3" borderId="32" xfId="0" applyNumberFormat="1" applyFont="1" applyFill="1" applyBorder="1" applyAlignment="1">
      <alignment horizontal="right" vertical="center" wrapText="1"/>
    </xf>
    <xf numFmtId="3" fontId="13" fillId="3" borderId="19" xfId="0" applyNumberFormat="1" applyFont="1" applyFill="1" applyBorder="1" applyAlignment="1">
      <alignment horizontal="right" vertical="center" wrapText="1"/>
    </xf>
    <xf numFmtId="49" fontId="36" fillId="0" borderId="23" xfId="0" applyNumberFormat="1" applyFont="1" applyBorder="1" applyAlignment="1">
      <alignment horizontal="center" vertical="center"/>
    </xf>
    <xf numFmtId="3" fontId="36" fillId="3" borderId="24" xfId="0" applyNumberFormat="1" applyFont="1" applyFill="1" applyBorder="1" applyAlignment="1">
      <alignment horizontal="right" vertical="center"/>
    </xf>
    <xf numFmtId="49" fontId="36" fillId="0" borderId="26" xfId="0" applyNumberFormat="1" applyFont="1" applyBorder="1" applyAlignment="1">
      <alignment horizontal="center" vertical="center"/>
    </xf>
    <xf numFmtId="3" fontId="36" fillId="3" borderId="32" xfId="0" applyNumberFormat="1" applyFont="1" applyFill="1" applyBorder="1" applyAlignment="1">
      <alignment horizontal="right" vertical="center"/>
    </xf>
    <xf numFmtId="3" fontId="18" fillId="3" borderId="32" xfId="0" applyNumberFormat="1" applyFont="1" applyFill="1" applyBorder="1" applyAlignment="1">
      <alignment horizontal="right" vertical="center"/>
    </xf>
    <xf numFmtId="3" fontId="36" fillId="3" borderId="32" xfId="0" applyNumberFormat="1" applyFont="1" applyFill="1" applyBorder="1" applyAlignment="1">
      <alignment horizontal="right" vertical="center" wrapText="1"/>
    </xf>
    <xf numFmtId="49" fontId="36" fillId="0" borderId="22" xfId="0" applyNumberFormat="1" applyFont="1" applyBorder="1" applyAlignment="1">
      <alignment horizontal="center" vertical="center"/>
    </xf>
    <xf numFmtId="3" fontId="36" fillId="3" borderId="29" xfId="0" applyNumberFormat="1" applyFont="1" applyFill="1" applyBorder="1" applyAlignment="1">
      <alignment horizontal="right" vertical="center"/>
    </xf>
    <xf numFmtId="49" fontId="18" fillId="0" borderId="33" xfId="0" applyNumberFormat="1" applyFont="1" applyBorder="1" applyAlignment="1">
      <alignment horizontal="center" vertical="center"/>
    </xf>
    <xf numFmtId="3" fontId="18" fillId="3" borderId="35" xfId="0" applyNumberFormat="1" applyFont="1" applyFill="1" applyBorder="1" applyAlignment="1">
      <alignment horizontal="right" vertical="center"/>
    </xf>
    <xf numFmtId="49" fontId="36" fillId="0" borderId="33" xfId="0" applyNumberFormat="1" applyFont="1" applyBorder="1" applyAlignment="1">
      <alignment horizontal="center" vertical="center"/>
    </xf>
    <xf numFmtId="3" fontId="36" fillId="3" borderId="35" xfId="0" applyNumberFormat="1" applyFont="1" applyFill="1" applyBorder="1" applyAlignment="1">
      <alignment horizontal="right" vertical="center"/>
    </xf>
    <xf numFmtId="49" fontId="18" fillId="2" borderId="26" xfId="0" applyNumberFormat="1" applyFont="1" applyFill="1" applyBorder="1" applyAlignment="1">
      <alignment horizontal="center" vertical="center" wrapText="1" shrinkToFit="1"/>
    </xf>
    <xf numFmtId="0" fontId="17" fillId="2" borderId="26" xfId="1" applyFont="1" applyFill="1" applyBorder="1" applyAlignment="1">
      <alignment horizontal="center" vertical="center" wrapText="1"/>
    </xf>
    <xf numFmtId="3" fontId="18" fillId="2" borderId="23" xfId="1" applyNumberFormat="1" applyFont="1" applyFill="1" applyBorder="1" applyAlignment="1">
      <alignment vertical="center" wrapText="1"/>
    </xf>
    <xf numFmtId="3" fontId="17" fillId="2" borderId="23" xfId="0" applyNumberFormat="1" applyFont="1" applyFill="1" applyBorder="1" applyAlignment="1">
      <alignment horizontal="right" vertical="center" wrapText="1"/>
    </xf>
    <xf numFmtId="3" fontId="18" fillId="2" borderId="23" xfId="0" applyNumberFormat="1" applyFont="1" applyFill="1" applyBorder="1" applyAlignment="1">
      <alignment horizontal="right" vertical="center" wrapText="1"/>
    </xf>
    <xf numFmtId="3" fontId="17" fillId="2" borderId="47" xfId="0" applyNumberFormat="1" applyFont="1" applyFill="1" applyBorder="1" applyAlignment="1">
      <alignment horizontal="right" vertical="center" wrapText="1"/>
    </xf>
    <xf numFmtId="3" fontId="17" fillId="2" borderId="20" xfId="0" applyNumberFormat="1" applyFont="1" applyFill="1" applyBorder="1" applyAlignment="1">
      <alignment horizontal="right" vertical="center" wrapText="1"/>
    </xf>
    <xf numFmtId="3" fontId="17" fillId="2" borderId="44" xfId="0" applyNumberFormat="1" applyFont="1" applyFill="1" applyBorder="1" applyAlignment="1">
      <alignment horizontal="right" vertical="center" wrapText="1"/>
    </xf>
    <xf numFmtId="49" fontId="17" fillId="2" borderId="26" xfId="0" applyNumberFormat="1" applyFont="1" applyFill="1" applyBorder="1" applyAlignment="1">
      <alignment horizontal="center" vertical="center" wrapText="1"/>
    </xf>
    <xf numFmtId="49" fontId="11" fillId="0" borderId="14" xfId="0" applyNumberFormat="1" applyFont="1" applyBorder="1" applyAlignment="1">
      <alignment horizontal="center" vertical="center" wrapText="1" shrinkToFit="1"/>
    </xf>
    <xf numFmtId="0" fontId="13" fillId="5" borderId="5" xfId="0" applyFont="1" applyFill="1" applyBorder="1" applyAlignment="1">
      <alignment horizontal="center" vertical="center" wrapText="1"/>
    </xf>
    <xf numFmtId="1" fontId="23" fillId="5" borderId="5" xfId="1" applyNumberFormat="1" applyFont="1" applyFill="1" applyBorder="1" applyAlignment="1">
      <alignment vertical="center" wrapText="1"/>
    </xf>
    <xf numFmtId="1" fontId="23" fillId="5" borderId="12" xfId="1" applyNumberFormat="1" applyFont="1" applyFill="1" applyBorder="1" applyAlignment="1">
      <alignment vertical="center"/>
    </xf>
    <xf numFmtId="1" fontId="23" fillId="5" borderId="5" xfId="1" applyNumberFormat="1" applyFont="1" applyFill="1" applyBorder="1" applyAlignment="1">
      <alignment vertical="center"/>
    </xf>
    <xf numFmtId="3" fontId="13" fillId="3" borderId="48" xfId="0" applyNumberFormat="1" applyFont="1" applyFill="1" applyBorder="1" applyAlignment="1">
      <alignment horizontal="right" vertical="center" wrapText="1"/>
    </xf>
    <xf numFmtId="3" fontId="13" fillId="3" borderId="29" xfId="0" applyNumberFormat="1" applyFont="1" applyFill="1" applyBorder="1" applyAlignment="1">
      <alignment horizontal="right" vertical="center"/>
    </xf>
    <xf numFmtId="3" fontId="13" fillId="3" borderId="45" xfId="0" applyNumberFormat="1" applyFont="1" applyFill="1" applyBorder="1" applyAlignment="1">
      <alignment horizontal="right" vertical="center" wrapText="1"/>
    </xf>
    <xf numFmtId="0" fontId="14" fillId="0" borderId="1" xfId="0" applyFont="1" applyBorder="1" applyAlignment="1">
      <alignment horizontal="center" vertical="center" wrapText="1"/>
    </xf>
    <xf numFmtId="1" fontId="14" fillId="5" borderId="5" xfId="1" applyNumberFormat="1" applyFont="1" applyFill="1" applyBorder="1" applyAlignment="1">
      <alignment vertical="center" wrapText="1"/>
    </xf>
    <xf numFmtId="1" fontId="14" fillId="5" borderId="5" xfId="1" applyNumberFormat="1" applyFont="1" applyFill="1" applyBorder="1" applyAlignment="1">
      <alignment vertical="center"/>
    </xf>
    <xf numFmtId="49" fontId="14" fillId="0" borderId="0" xfId="0" applyNumberFormat="1" applyFont="1" applyAlignment="1">
      <alignment horizontal="center" vertical="center"/>
    </xf>
    <xf numFmtId="166" fontId="14" fillId="0" borderId="0" xfId="0" applyNumberFormat="1" applyFont="1" applyAlignment="1">
      <alignment vertical="center"/>
    </xf>
    <xf numFmtId="3" fontId="14" fillId="3" borderId="16" xfId="0" applyNumberFormat="1" applyFont="1" applyFill="1" applyBorder="1" applyAlignment="1">
      <alignment horizontal="center" vertical="center" wrapText="1"/>
    </xf>
    <xf numFmtId="3" fontId="13" fillId="5" borderId="12" xfId="1" applyNumberFormat="1" applyFont="1" applyFill="1" applyBorder="1" applyAlignment="1">
      <alignment horizontal="center" vertical="center" wrapText="1"/>
    </xf>
    <xf numFmtId="49" fontId="15" fillId="2" borderId="23" xfId="0" applyNumberFormat="1" applyFont="1" applyFill="1" applyBorder="1" applyAlignment="1">
      <alignment horizontal="center" vertical="center" wrapText="1"/>
    </xf>
    <xf numFmtId="3" fontId="13" fillId="3" borderId="37" xfId="0" applyNumberFormat="1" applyFont="1" applyFill="1" applyBorder="1" applyAlignment="1">
      <alignment horizontal="right" vertical="center" wrapText="1"/>
    </xf>
    <xf numFmtId="0" fontId="11" fillId="2" borderId="18" xfId="1" applyFill="1" applyBorder="1" applyAlignment="1">
      <alignment horizontal="center" vertical="center" wrapText="1"/>
    </xf>
    <xf numFmtId="2" fontId="11" fillId="4" borderId="23" xfId="0" applyNumberFormat="1" applyFont="1" applyFill="1" applyBorder="1" applyAlignment="1">
      <alignment horizontal="center" vertical="center" wrapText="1"/>
    </xf>
    <xf numFmtId="3" fontId="18" fillId="3" borderId="45" xfId="0" applyNumberFormat="1" applyFont="1" applyFill="1" applyBorder="1" applyAlignment="1">
      <alignment horizontal="right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1" fillId="2" borderId="6" xfId="1" applyFill="1" applyBorder="1" applyAlignment="1">
      <alignment horizontal="center" vertical="center" wrapText="1"/>
    </xf>
    <xf numFmtId="2" fontId="11" fillId="2" borderId="23" xfId="0" applyNumberFormat="1" applyFont="1" applyFill="1" applyBorder="1" applyAlignment="1">
      <alignment horizontal="center" vertical="center" wrapText="1"/>
    </xf>
    <xf numFmtId="2" fontId="11" fillId="2" borderId="26" xfId="0" applyNumberFormat="1" applyFont="1" applyFill="1" applyBorder="1" applyAlignment="1">
      <alignment horizontal="center" vertical="center" wrapText="1"/>
    </xf>
    <xf numFmtId="2" fontId="15" fillId="2" borderId="26" xfId="0" applyNumberFormat="1" applyFont="1" applyFill="1" applyBorder="1" applyAlignment="1">
      <alignment horizontal="center" vertical="center" wrapText="1"/>
    </xf>
    <xf numFmtId="3" fontId="18" fillId="3" borderId="14" xfId="0" applyNumberFormat="1" applyFont="1" applyFill="1" applyBorder="1" applyAlignment="1">
      <alignment horizontal="right" vertical="center"/>
    </xf>
    <xf numFmtId="3" fontId="13" fillId="3" borderId="6" xfId="0" applyNumberFormat="1" applyFont="1" applyFill="1" applyBorder="1" applyAlignment="1">
      <alignment horizontal="right" vertical="center" wrapText="1"/>
    </xf>
    <xf numFmtId="49" fontId="18" fillId="0" borderId="18" xfId="0" applyNumberFormat="1" applyFont="1" applyBorder="1" applyAlignment="1">
      <alignment horizontal="center" vertical="center"/>
    </xf>
    <xf numFmtId="0" fontId="14" fillId="4" borderId="26" xfId="0" applyFont="1" applyFill="1" applyBorder="1" applyAlignment="1">
      <alignment horizontal="center" vertical="center" wrapText="1"/>
    </xf>
    <xf numFmtId="3" fontId="18" fillId="3" borderId="6" xfId="0" applyNumberFormat="1" applyFont="1" applyFill="1" applyBorder="1" applyAlignment="1">
      <alignment horizontal="right" vertical="center" wrapText="1"/>
    </xf>
    <xf numFmtId="0" fontId="13" fillId="0" borderId="30" xfId="0" applyFont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center" vertical="center"/>
    </xf>
    <xf numFmtId="49" fontId="11" fillId="2" borderId="33" xfId="0" applyNumberFormat="1" applyFont="1" applyFill="1" applyBorder="1" applyAlignment="1">
      <alignment horizontal="center" vertical="center" wrapText="1"/>
    </xf>
    <xf numFmtId="49" fontId="18" fillId="2" borderId="13" xfId="0" applyNumberFormat="1" applyFont="1" applyFill="1" applyBorder="1" applyAlignment="1">
      <alignment horizontal="center" vertical="center" wrapText="1"/>
    </xf>
    <xf numFmtId="3" fontId="17" fillId="2" borderId="60" xfId="0" applyNumberFormat="1" applyFont="1" applyFill="1" applyBorder="1" applyAlignment="1">
      <alignment horizontal="right" vertical="center"/>
    </xf>
    <xf numFmtId="3" fontId="17" fillId="2" borderId="60" xfId="0" applyNumberFormat="1" applyFont="1" applyFill="1" applyBorder="1" applyAlignment="1">
      <alignment horizontal="right" vertical="center" wrapText="1"/>
    </xf>
    <xf numFmtId="3" fontId="17" fillId="2" borderId="48" xfId="0" applyNumberFormat="1" applyFont="1" applyFill="1" applyBorder="1" applyAlignment="1">
      <alignment horizontal="right" vertical="center" wrapText="1"/>
    </xf>
    <xf numFmtId="3" fontId="17" fillId="2" borderId="13" xfId="0" applyNumberFormat="1" applyFont="1" applyFill="1" applyBorder="1" applyAlignment="1">
      <alignment horizontal="right" vertical="center" wrapText="1"/>
    </xf>
    <xf numFmtId="3" fontId="18" fillId="2" borderId="45" xfId="0" applyNumberFormat="1" applyFont="1" applyFill="1" applyBorder="1" applyAlignment="1">
      <alignment horizontal="right" vertical="center" wrapText="1"/>
    </xf>
    <xf numFmtId="3" fontId="18" fillId="2" borderId="13" xfId="0" applyNumberFormat="1" applyFont="1" applyFill="1" applyBorder="1" applyAlignment="1">
      <alignment horizontal="right" vertical="center" wrapText="1"/>
    </xf>
    <xf numFmtId="3" fontId="17" fillId="2" borderId="13" xfId="0" applyNumberFormat="1" applyFont="1" applyFill="1" applyBorder="1" applyAlignment="1">
      <alignment vertical="center"/>
    </xf>
    <xf numFmtId="3" fontId="17" fillId="2" borderId="60" xfId="0" applyNumberFormat="1" applyFont="1" applyFill="1" applyBorder="1" applyAlignment="1">
      <alignment vertical="center"/>
    </xf>
    <xf numFmtId="3" fontId="17" fillId="2" borderId="48" xfId="0" applyNumberFormat="1" applyFont="1" applyFill="1" applyBorder="1" applyAlignment="1">
      <alignment vertical="center"/>
    </xf>
    <xf numFmtId="3" fontId="17" fillId="2" borderId="19" xfId="0" applyNumberFormat="1" applyFont="1" applyFill="1" applyBorder="1" applyAlignment="1">
      <alignment vertical="center"/>
    </xf>
    <xf numFmtId="3" fontId="17" fillId="2" borderId="54" xfId="0" applyNumberFormat="1" applyFont="1" applyFill="1" applyBorder="1" applyAlignment="1">
      <alignment horizontal="right" vertical="center"/>
    </xf>
    <xf numFmtId="0" fontId="17" fillId="2" borderId="13" xfId="0" applyFont="1" applyFill="1" applyBorder="1" applyAlignment="1">
      <alignment horizontal="center" vertical="center"/>
    </xf>
    <xf numFmtId="49" fontId="17" fillId="2" borderId="15" xfId="0" applyNumberFormat="1" applyFont="1" applyFill="1" applyBorder="1" applyAlignment="1">
      <alignment horizontal="center" vertical="center"/>
    </xf>
    <xf numFmtId="0" fontId="17" fillId="2" borderId="13" xfId="1" applyFont="1" applyFill="1" applyBorder="1" applyAlignment="1">
      <alignment horizontal="center" vertical="center" wrapText="1"/>
    </xf>
    <xf numFmtId="0" fontId="17" fillId="2" borderId="23" xfId="0" applyFont="1" applyFill="1" applyBorder="1" applyAlignment="1">
      <alignment horizontal="center" vertical="center" wrapText="1"/>
    </xf>
    <xf numFmtId="49" fontId="17" fillId="2" borderId="23" xfId="0" applyNumberFormat="1" applyFont="1" applyFill="1" applyBorder="1" applyAlignment="1">
      <alignment horizontal="center" vertical="center" wrapText="1"/>
    </xf>
    <xf numFmtId="3" fontId="13" fillId="3" borderId="16" xfId="0" applyNumberFormat="1" applyFont="1" applyFill="1" applyBorder="1" applyAlignment="1">
      <alignment horizontal="right" vertical="center" wrapText="1"/>
    </xf>
    <xf numFmtId="0" fontId="11" fillId="12" borderId="26" xfId="0" applyFont="1" applyFill="1" applyBorder="1" applyAlignment="1">
      <alignment horizontal="center" vertical="center" wrapText="1"/>
    </xf>
    <xf numFmtId="2" fontId="11" fillId="2" borderId="22" xfId="0" applyNumberFormat="1" applyFont="1" applyFill="1" applyBorder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15" fillId="2" borderId="13" xfId="0" applyFont="1" applyFill="1" applyBorder="1" applyAlignment="1">
      <alignment horizontal="center" vertical="center" wrapText="1"/>
    </xf>
    <xf numFmtId="3" fontId="18" fillId="3" borderId="45" xfId="0" applyNumberFormat="1" applyFont="1" applyFill="1" applyBorder="1" applyAlignment="1">
      <alignment horizontal="right" vertical="center"/>
    </xf>
    <xf numFmtId="49" fontId="13" fillId="8" borderId="23" xfId="0" applyNumberFormat="1" applyFont="1" applyFill="1" applyBorder="1" applyAlignment="1">
      <alignment horizontal="center" vertical="center" wrapText="1"/>
    </xf>
    <xf numFmtId="49" fontId="18" fillId="8" borderId="26" xfId="0" applyNumberFormat="1" applyFont="1" applyFill="1" applyBorder="1" applyAlignment="1">
      <alignment horizontal="center" vertical="center" wrapText="1"/>
    </xf>
    <xf numFmtId="0" fontId="13" fillId="0" borderId="6" xfId="1" applyFont="1" applyBorder="1" applyAlignment="1">
      <alignment horizontal="center" vertical="center" wrapText="1"/>
    </xf>
    <xf numFmtId="49" fontId="18" fillId="0" borderId="22" xfId="0" applyNumberFormat="1" applyFont="1" applyBorder="1" applyAlignment="1">
      <alignment horizontal="center" vertical="center"/>
    </xf>
    <xf numFmtId="3" fontId="18" fillId="3" borderId="29" xfId="0" applyNumberFormat="1" applyFont="1" applyFill="1" applyBorder="1" applyAlignment="1">
      <alignment horizontal="right" vertical="center"/>
    </xf>
    <xf numFmtId="3" fontId="18" fillId="3" borderId="16" xfId="0" applyNumberFormat="1" applyFont="1" applyFill="1" applyBorder="1" applyAlignment="1">
      <alignment horizontal="right" vertical="center" wrapText="1"/>
    </xf>
    <xf numFmtId="49" fontId="11" fillId="2" borderId="14" xfId="0" applyNumberFormat="1" applyFont="1" applyFill="1" applyBorder="1" applyAlignment="1">
      <alignment horizontal="center" vertical="center"/>
    </xf>
    <xf numFmtId="49" fontId="11" fillId="4" borderId="23" xfId="0" applyNumberFormat="1" applyFont="1" applyFill="1" applyBorder="1" applyAlignment="1">
      <alignment horizontal="center" vertical="center"/>
    </xf>
    <xf numFmtId="49" fontId="36" fillId="8" borderId="23" xfId="0" applyNumberFormat="1" applyFont="1" applyFill="1" applyBorder="1" applyAlignment="1">
      <alignment horizontal="center" vertical="center" wrapText="1"/>
    </xf>
    <xf numFmtId="0" fontId="41" fillId="2" borderId="0" xfId="0" applyFont="1" applyFill="1" applyAlignment="1">
      <alignment horizontal="left" vertical="center"/>
    </xf>
    <xf numFmtId="0" fontId="22" fillId="0" borderId="0" xfId="0" applyFont="1"/>
    <xf numFmtId="3" fontId="17" fillId="2" borderId="26" xfId="0" applyNumberFormat="1" applyFont="1" applyFill="1" applyBorder="1" applyAlignment="1">
      <alignment horizontal="right" vertical="center" wrapText="1"/>
    </xf>
    <xf numFmtId="3" fontId="17" fillId="2" borderId="32" xfId="0" applyNumberFormat="1" applyFont="1" applyFill="1" applyBorder="1" applyAlignment="1">
      <alignment horizontal="right" vertical="center" wrapText="1"/>
    </xf>
    <xf numFmtId="3" fontId="17" fillId="2" borderId="36" xfId="0" applyNumberFormat="1" applyFont="1" applyFill="1" applyBorder="1" applyAlignment="1">
      <alignment horizontal="right" vertical="center" wrapText="1"/>
    </xf>
    <xf numFmtId="2" fontId="20" fillId="2" borderId="26" xfId="0" applyNumberFormat="1" applyFont="1" applyFill="1" applyBorder="1" applyAlignment="1">
      <alignment horizontal="center" vertical="center" wrapText="1"/>
    </xf>
    <xf numFmtId="49" fontId="36" fillId="0" borderId="18" xfId="0" applyNumberFormat="1" applyFont="1" applyBorder="1" applyAlignment="1">
      <alignment horizontal="center" vertical="center" wrapText="1"/>
    </xf>
    <xf numFmtId="3" fontId="36" fillId="3" borderId="18" xfId="0" applyNumberFormat="1" applyFont="1" applyFill="1" applyBorder="1" applyAlignment="1">
      <alignment horizontal="right" vertical="center" wrapText="1"/>
    </xf>
    <xf numFmtId="2" fontId="17" fillId="2" borderId="23" xfId="0" applyNumberFormat="1" applyFont="1" applyFill="1" applyBorder="1" applyAlignment="1">
      <alignment horizontal="center" vertical="center" wrapText="1"/>
    </xf>
    <xf numFmtId="49" fontId="13" fillId="0" borderId="12" xfId="0" applyNumberFormat="1" applyFont="1" applyBorder="1" applyAlignment="1">
      <alignment horizontal="center" vertical="center" wrapText="1"/>
    </xf>
    <xf numFmtId="3" fontId="17" fillId="2" borderId="13" xfId="0" applyNumberFormat="1" applyFont="1" applyFill="1" applyBorder="1" applyAlignment="1">
      <alignment horizontal="center" vertical="center" wrapText="1"/>
    </xf>
    <xf numFmtId="0" fontId="17" fillId="2" borderId="24" xfId="0" applyFont="1" applyFill="1" applyBorder="1" applyAlignment="1">
      <alignment horizontal="center" vertical="center" wrapText="1"/>
    </xf>
    <xf numFmtId="3" fontId="17" fillId="2" borderId="58" xfId="0" applyNumberFormat="1" applyFont="1" applyFill="1" applyBorder="1" applyAlignment="1">
      <alignment horizontal="right" vertical="center" wrapText="1"/>
    </xf>
    <xf numFmtId="3" fontId="17" fillId="2" borderId="21" xfId="0" applyNumberFormat="1" applyFont="1" applyFill="1" applyBorder="1" applyAlignment="1">
      <alignment horizontal="right" vertical="center" wrapText="1"/>
    </xf>
    <xf numFmtId="3" fontId="17" fillId="2" borderId="75" xfId="0" applyNumberFormat="1" applyFont="1" applyFill="1" applyBorder="1" applyAlignment="1">
      <alignment horizontal="right" vertical="center" wrapText="1"/>
    </xf>
    <xf numFmtId="3" fontId="17" fillId="2" borderId="24" xfId="0" applyNumberFormat="1" applyFont="1" applyFill="1" applyBorder="1" applyAlignment="1">
      <alignment horizontal="right" vertical="center" wrapText="1"/>
    </xf>
    <xf numFmtId="49" fontId="17" fillId="2" borderId="25" xfId="0" applyNumberFormat="1" applyFont="1" applyFill="1" applyBorder="1" applyAlignment="1">
      <alignment horizontal="center" vertical="center" wrapText="1"/>
    </xf>
    <xf numFmtId="0" fontId="13" fillId="5" borderId="14" xfId="0" applyFont="1" applyFill="1" applyBorder="1" applyAlignment="1">
      <alignment horizontal="center" vertical="center" wrapText="1"/>
    </xf>
    <xf numFmtId="2" fontId="17" fillId="2" borderId="26" xfId="0" applyNumberFormat="1" applyFont="1" applyFill="1" applyBorder="1" applyAlignment="1">
      <alignment horizontal="center" vertical="center" wrapText="1"/>
    </xf>
    <xf numFmtId="49" fontId="13" fillId="8" borderId="14" xfId="0" applyNumberFormat="1" applyFont="1" applyFill="1" applyBorder="1" applyAlignment="1">
      <alignment horizontal="center" vertical="center" wrapText="1"/>
    </xf>
    <xf numFmtId="0" fontId="17" fillId="2" borderId="23" xfId="1" applyFont="1" applyFill="1" applyBorder="1" applyAlignment="1">
      <alignment horizontal="center" vertical="center" wrapText="1"/>
    </xf>
    <xf numFmtId="3" fontId="18" fillId="3" borderId="24" xfId="0" applyNumberFormat="1" applyFont="1" applyFill="1" applyBorder="1" applyAlignment="1">
      <alignment horizontal="right" vertical="center" wrapText="1"/>
    </xf>
    <xf numFmtId="0" fontId="32" fillId="0" borderId="0" xfId="0" applyFont="1"/>
    <xf numFmtId="3" fontId="18" fillId="3" borderId="1" xfId="0" applyNumberFormat="1" applyFont="1" applyFill="1" applyBorder="1" applyAlignment="1">
      <alignment horizontal="right" vertical="center" wrapText="1"/>
    </xf>
    <xf numFmtId="0" fontId="13" fillId="5" borderId="14" xfId="1" applyFont="1" applyFill="1" applyBorder="1" applyAlignment="1">
      <alignment horizontal="center" vertical="center" wrapText="1"/>
    </xf>
    <xf numFmtId="0" fontId="13" fillId="5" borderId="18" xfId="1" applyFont="1" applyFill="1" applyBorder="1" applyAlignment="1">
      <alignment horizontal="center" vertical="center" wrapText="1"/>
    </xf>
    <xf numFmtId="49" fontId="13" fillId="5" borderId="12" xfId="1" applyNumberFormat="1" applyFont="1" applyFill="1" applyBorder="1" applyAlignment="1">
      <alignment horizontal="center" vertical="center" wrapText="1"/>
    </xf>
    <xf numFmtId="49" fontId="13" fillId="5" borderId="12" xfId="0" applyNumberFormat="1" applyFont="1" applyFill="1" applyBorder="1" applyAlignment="1">
      <alignment horizontal="center" vertical="center" wrapText="1"/>
    </xf>
    <xf numFmtId="1" fontId="13" fillId="5" borderId="18" xfId="1" applyNumberFormat="1" applyFont="1" applyFill="1" applyBorder="1" applyAlignment="1">
      <alignment horizontal="center" vertical="center" wrapText="1"/>
    </xf>
    <xf numFmtId="0" fontId="13" fillId="5" borderId="12" xfId="0" applyFont="1" applyFill="1" applyBorder="1" applyAlignment="1">
      <alignment horizontal="center" vertical="center" wrapText="1"/>
    </xf>
    <xf numFmtId="0" fontId="11" fillId="12" borderId="27" xfId="0" applyFont="1" applyFill="1" applyBorder="1" applyAlignment="1">
      <alignment horizontal="center" vertical="center" wrapText="1"/>
    </xf>
    <xf numFmtId="3" fontId="13" fillId="3" borderId="24" xfId="0" applyNumberFormat="1" applyFont="1" applyFill="1" applyBorder="1" applyAlignment="1">
      <alignment horizontal="right" vertical="center"/>
    </xf>
    <xf numFmtId="3" fontId="13" fillId="3" borderId="29" xfId="0" applyNumberFormat="1" applyFont="1" applyFill="1" applyBorder="1" applyAlignment="1">
      <alignment horizontal="right" vertical="center" wrapText="1"/>
    </xf>
    <xf numFmtId="3" fontId="17" fillId="2" borderId="54" xfId="0" applyNumberFormat="1" applyFont="1" applyFill="1" applyBorder="1" applyAlignment="1">
      <alignment horizontal="right" vertical="center" wrapText="1"/>
    </xf>
    <xf numFmtId="3" fontId="17" fillId="2" borderId="15" xfId="0" applyNumberFormat="1" applyFont="1" applyFill="1" applyBorder="1" applyAlignment="1">
      <alignment horizontal="right" vertical="center" wrapText="1"/>
    </xf>
    <xf numFmtId="3" fontId="17" fillId="2" borderId="45" xfId="0" applyNumberFormat="1" applyFont="1" applyFill="1" applyBorder="1" applyAlignment="1">
      <alignment horizontal="right" vertical="center" wrapText="1"/>
    </xf>
    <xf numFmtId="49" fontId="17" fillId="2" borderId="15" xfId="0" applyNumberFormat="1" applyFont="1" applyFill="1" applyBorder="1" applyAlignment="1">
      <alignment horizontal="center" vertical="center" wrapText="1"/>
    </xf>
    <xf numFmtId="3" fontId="17" fillId="2" borderId="17" xfId="0" applyNumberFormat="1" applyFont="1" applyFill="1" applyBorder="1" applyAlignment="1">
      <alignment horizontal="right" vertical="center" wrapText="1"/>
    </xf>
    <xf numFmtId="0" fontId="17" fillId="2" borderId="45" xfId="1" applyFont="1" applyFill="1" applyBorder="1" applyAlignment="1">
      <alignment horizontal="center" vertical="center" wrapText="1"/>
    </xf>
    <xf numFmtId="3" fontId="13" fillId="7" borderId="3" xfId="1" applyNumberFormat="1" applyFont="1" applyFill="1" applyBorder="1" applyAlignment="1">
      <alignment horizontal="center" vertical="center" wrapText="1"/>
    </xf>
    <xf numFmtId="3" fontId="13" fillId="14" borderId="55" xfId="0" applyNumberFormat="1" applyFont="1" applyFill="1" applyBorder="1" applyAlignment="1">
      <alignment horizontal="center" vertical="center" wrapText="1"/>
    </xf>
    <xf numFmtId="3" fontId="13" fillId="0" borderId="55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right" vertical="center" wrapText="1"/>
    </xf>
    <xf numFmtId="49" fontId="13" fillId="0" borderId="33" xfId="0" applyNumberFormat="1" applyFont="1" applyBorder="1" applyAlignment="1">
      <alignment horizontal="center" vertical="center"/>
    </xf>
    <xf numFmtId="49" fontId="13" fillId="0" borderId="26" xfId="0" applyNumberFormat="1" applyFont="1" applyBorder="1" applyAlignment="1">
      <alignment horizontal="center" vertical="center"/>
    </xf>
    <xf numFmtId="49" fontId="13" fillId="0" borderId="2" xfId="0" applyNumberFormat="1" applyFont="1" applyBorder="1" applyAlignment="1">
      <alignment horizontal="center" vertical="center" wrapText="1"/>
    </xf>
    <xf numFmtId="166" fontId="14" fillId="0" borderId="30" xfId="0" applyNumberFormat="1" applyFont="1" applyBorder="1" applyAlignment="1">
      <alignment horizontal="center" vertical="center" wrapText="1"/>
    </xf>
    <xf numFmtId="4" fontId="11" fillId="0" borderId="38" xfId="0" applyNumberFormat="1" applyFont="1" applyBorder="1" applyAlignment="1">
      <alignment horizontal="right" vertical="center" wrapText="1"/>
    </xf>
    <xf numFmtId="1" fontId="14" fillId="5" borderId="12" xfId="1" applyNumberFormat="1" applyFont="1" applyFill="1" applyBorder="1" applyAlignment="1">
      <alignment vertical="center"/>
    </xf>
    <xf numFmtId="1" fontId="13" fillId="5" borderId="6" xfId="1" applyNumberFormat="1" applyFont="1" applyFill="1" applyBorder="1" applyAlignment="1">
      <alignment horizontal="center" vertical="center" wrapText="1"/>
    </xf>
    <xf numFmtId="0" fontId="13" fillId="5" borderId="6" xfId="1" applyFont="1" applyFill="1" applyBorder="1" applyAlignment="1">
      <alignment horizontal="center" vertical="center" wrapText="1"/>
    </xf>
    <xf numFmtId="3" fontId="13" fillId="3" borderId="1" xfId="0" applyNumberFormat="1" applyFont="1" applyFill="1" applyBorder="1" applyAlignment="1">
      <alignment horizontal="right" vertical="center" wrapText="1"/>
    </xf>
    <xf numFmtId="49" fontId="13" fillId="8" borderId="26" xfId="0" applyNumberFormat="1" applyFont="1" applyFill="1" applyBorder="1" applyAlignment="1">
      <alignment horizontal="center" vertical="center" wrapText="1"/>
    </xf>
    <xf numFmtId="49" fontId="13" fillId="8" borderId="22" xfId="0" applyNumberFormat="1" applyFont="1" applyFill="1" applyBorder="1" applyAlignment="1">
      <alignment horizontal="center" vertical="center" wrapText="1"/>
    </xf>
    <xf numFmtId="3" fontId="13" fillId="10" borderId="56" xfId="0" applyNumberFormat="1" applyFont="1" applyFill="1" applyBorder="1" applyAlignment="1">
      <alignment horizontal="center" vertical="center" wrapText="1"/>
    </xf>
    <xf numFmtId="3" fontId="13" fillId="2" borderId="31" xfId="1" applyNumberFormat="1" applyFont="1" applyFill="1" applyBorder="1" applyAlignment="1">
      <alignment vertical="center" wrapText="1"/>
    </xf>
    <xf numFmtId="49" fontId="18" fillId="8" borderId="23" xfId="0" applyNumberFormat="1" applyFont="1" applyFill="1" applyBorder="1" applyAlignment="1">
      <alignment horizontal="center" vertical="center" wrapText="1"/>
    </xf>
    <xf numFmtId="3" fontId="36" fillId="3" borderId="27" xfId="0" applyNumberFormat="1" applyFont="1" applyFill="1" applyBorder="1" applyAlignment="1">
      <alignment horizontal="right" vertical="center" wrapText="1"/>
    </xf>
    <xf numFmtId="3" fontId="11" fillId="2" borderId="27" xfId="0" applyNumberFormat="1" applyFont="1" applyFill="1" applyBorder="1" applyAlignment="1">
      <alignment horizontal="right" vertical="center" wrapText="1"/>
    </xf>
    <xf numFmtId="49" fontId="18" fillId="2" borderId="23" xfId="0" applyNumberFormat="1" applyFont="1" applyFill="1" applyBorder="1" applyAlignment="1">
      <alignment horizontal="center" vertical="center" wrapText="1"/>
    </xf>
    <xf numFmtId="49" fontId="18" fillId="2" borderId="25" xfId="0" applyNumberFormat="1" applyFont="1" applyFill="1" applyBorder="1" applyAlignment="1">
      <alignment horizontal="center" vertical="center" wrapText="1" shrinkToFit="1"/>
    </xf>
    <xf numFmtId="49" fontId="40" fillId="2" borderId="25" xfId="0" applyNumberFormat="1" applyFont="1" applyFill="1" applyBorder="1" applyAlignment="1">
      <alignment horizontal="center" vertical="center"/>
    </xf>
    <xf numFmtId="3" fontId="18" fillId="2" borderId="23" xfId="1" applyNumberFormat="1" applyFont="1" applyFill="1" applyBorder="1" applyAlignment="1">
      <alignment horizontal="right" vertical="center" wrapText="1"/>
    </xf>
    <xf numFmtId="3" fontId="17" fillId="2" borderId="58" xfId="1" applyNumberFormat="1" applyFont="1" applyFill="1" applyBorder="1" applyAlignment="1">
      <alignment horizontal="right" vertical="center" wrapText="1"/>
    </xf>
    <xf numFmtId="3" fontId="17" fillId="2" borderId="75" xfId="1" applyNumberFormat="1" applyFont="1" applyFill="1" applyBorder="1" applyAlignment="1">
      <alignment horizontal="right" vertical="center" wrapText="1"/>
    </xf>
    <xf numFmtId="3" fontId="17" fillId="2" borderId="27" xfId="0" applyNumberFormat="1" applyFont="1" applyFill="1" applyBorder="1" applyAlignment="1">
      <alignment horizontal="right" vertical="center" wrapText="1"/>
    </xf>
    <xf numFmtId="3" fontId="34" fillId="3" borderId="23" xfId="0" applyNumberFormat="1" applyFont="1" applyFill="1" applyBorder="1" applyAlignment="1">
      <alignment horizontal="right" vertical="center" wrapText="1"/>
    </xf>
    <xf numFmtId="49" fontId="34" fillId="0" borderId="23" xfId="0" applyNumberFormat="1" applyFont="1" applyBorder="1" applyAlignment="1">
      <alignment horizontal="center" vertical="center" wrapText="1"/>
    </xf>
    <xf numFmtId="49" fontId="36" fillId="0" borderId="13" xfId="0" applyNumberFormat="1" applyFont="1" applyBorder="1" applyAlignment="1">
      <alignment horizontal="center" vertical="center"/>
    </xf>
    <xf numFmtId="3" fontId="36" fillId="3" borderId="45" xfId="0" applyNumberFormat="1" applyFont="1" applyFill="1" applyBorder="1" applyAlignment="1">
      <alignment horizontal="right" vertical="center"/>
    </xf>
    <xf numFmtId="3" fontId="13" fillId="3" borderId="5" xfId="0" applyNumberFormat="1" applyFont="1" applyFill="1" applyBorder="1" applyAlignment="1">
      <alignment horizontal="right" vertical="center" wrapText="1"/>
    </xf>
    <xf numFmtId="49" fontId="13" fillId="0" borderId="13" xfId="0" applyNumberFormat="1" applyFont="1" applyBorder="1" applyAlignment="1">
      <alignment horizontal="center" vertical="center"/>
    </xf>
    <xf numFmtId="49" fontId="13" fillId="0" borderId="23" xfId="0" applyNumberFormat="1" applyFont="1" applyBorder="1" applyAlignment="1">
      <alignment horizontal="center" vertical="center"/>
    </xf>
    <xf numFmtId="0" fontId="13" fillId="0" borderId="31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3" fontId="13" fillId="0" borderId="39" xfId="0" applyNumberFormat="1" applyFont="1" applyBorder="1" applyAlignment="1">
      <alignment horizontal="center" vertical="center" wrapText="1"/>
    </xf>
    <xf numFmtId="3" fontId="11" fillId="0" borderId="74" xfId="0" applyNumberFormat="1" applyFont="1" applyBorder="1" applyAlignment="1">
      <alignment horizontal="center" vertical="center" wrapText="1"/>
    </xf>
    <xf numFmtId="0" fontId="15" fillId="2" borderId="23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3" fontId="11" fillId="2" borderId="33" xfId="0" applyNumberFormat="1" applyFont="1" applyFill="1" applyBorder="1" applyAlignment="1">
      <alignment horizontal="center" vertical="center" wrapText="1"/>
    </xf>
    <xf numFmtId="49" fontId="18" fillId="8" borderId="14" xfId="0" applyNumberFormat="1" applyFont="1" applyFill="1" applyBorder="1" applyAlignment="1">
      <alignment horizontal="center" vertical="center" wrapText="1"/>
    </xf>
    <xf numFmtId="2" fontId="11" fillId="2" borderId="14" xfId="0" applyNumberFormat="1" applyFont="1" applyFill="1" applyBorder="1" applyAlignment="1">
      <alignment horizontal="center" vertical="center" wrapText="1"/>
    </xf>
    <xf numFmtId="4" fontId="11" fillId="0" borderId="18" xfId="0" applyNumberFormat="1" applyFont="1" applyBorder="1" applyAlignment="1">
      <alignment horizontal="center" vertical="center" wrapText="1"/>
    </xf>
    <xf numFmtId="0" fontId="37" fillId="2" borderId="0" xfId="0" applyFont="1" applyFill="1" applyAlignment="1">
      <alignment horizontal="right"/>
    </xf>
    <xf numFmtId="0" fontId="29" fillId="0" borderId="0" xfId="0" applyFont="1" applyAlignment="1">
      <alignment horizontal="right"/>
    </xf>
    <xf numFmtId="3" fontId="29" fillId="0" borderId="0" xfId="0" applyNumberFormat="1" applyFont="1"/>
    <xf numFmtId="0" fontId="29" fillId="0" borderId="0" xfId="0" applyFont="1"/>
    <xf numFmtId="3" fontId="38" fillId="0" borderId="0" xfId="0" applyNumberFormat="1" applyFont="1"/>
    <xf numFmtId="0" fontId="38" fillId="0" borderId="0" xfId="0" applyFont="1"/>
    <xf numFmtId="166" fontId="13" fillId="0" borderId="23" xfId="0" applyNumberFormat="1" applyFont="1" applyBorder="1" applyAlignment="1">
      <alignment horizontal="center" vertical="center" wrapText="1"/>
    </xf>
    <xf numFmtId="49" fontId="13" fillId="0" borderId="30" xfId="0" applyNumberFormat="1" applyFont="1" applyBorder="1" applyAlignment="1">
      <alignment horizontal="center" vertical="center"/>
    </xf>
    <xf numFmtId="166" fontId="11" fillId="0" borderId="13" xfId="0" applyNumberFormat="1" applyFont="1" applyBorder="1" applyAlignment="1">
      <alignment horizontal="center" vertical="center" wrapText="1"/>
    </xf>
    <xf numFmtId="4" fontId="18" fillId="0" borderId="2" xfId="0" applyNumberFormat="1" applyFont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 wrapText="1"/>
    </xf>
    <xf numFmtId="0" fontId="11" fillId="12" borderId="37" xfId="0" applyFont="1" applyFill="1" applyBorder="1" applyAlignment="1">
      <alignment horizontal="center" vertical="center" wrapText="1"/>
    </xf>
    <xf numFmtId="0" fontId="15" fillId="2" borderId="14" xfId="0" applyFont="1" applyFill="1" applyBorder="1" applyAlignment="1">
      <alignment horizontal="center" vertical="center" wrapText="1"/>
    </xf>
    <xf numFmtId="49" fontId="40" fillId="2" borderId="25" xfId="0" applyNumberFormat="1" applyFont="1" applyFill="1" applyBorder="1" applyAlignment="1">
      <alignment horizontal="center" vertical="center" wrapText="1"/>
    </xf>
    <xf numFmtId="3" fontId="17" fillId="2" borderId="51" xfId="0" applyNumberFormat="1" applyFont="1" applyFill="1" applyBorder="1" applyAlignment="1">
      <alignment horizontal="right" vertical="center" wrapText="1"/>
    </xf>
    <xf numFmtId="0" fontId="17" fillId="2" borderId="25" xfId="0" applyFont="1" applyFill="1" applyBorder="1" applyAlignment="1">
      <alignment horizontal="center" vertical="center" wrapText="1"/>
    </xf>
    <xf numFmtId="3" fontId="17" fillId="2" borderId="61" xfId="0" applyNumberFormat="1" applyFont="1" applyFill="1" applyBorder="1" applyAlignment="1">
      <alignment horizontal="right" vertical="center" wrapText="1"/>
    </xf>
    <xf numFmtId="0" fontId="11" fillId="2" borderId="5" xfId="0" applyFont="1" applyFill="1" applyBorder="1" applyAlignment="1">
      <alignment horizontal="center" vertical="center" wrapText="1"/>
    </xf>
    <xf numFmtId="3" fontId="18" fillId="3" borderId="16" xfId="0" applyNumberFormat="1" applyFont="1" applyFill="1" applyBorder="1" applyAlignment="1">
      <alignment horizontal="right" vertical="center"/>
    </xf>
    <xf numFmtId="49" fontId="13" fillId="0" borderId="31" xfId="0" applyNumberFormat="1" applyFont="1" applyBorder="1" applyAlignment="1">
      <alignment horizontal="center" vertical="center" wrapText="1"/>
    </xf>
    <xf numFmtId="2" fontId="11" fillId="2" borderId="18" xfId="0" applyNumberFormat="1" applyFont="1" applyFill="1" applyBorder="1" applyAlignment="1">
      <alignment horizontal="center" vertical="center" wrapText="1"/>
    </xf>
    <xf numFmtId="49" fontId="13" fillId="0" borderId="14" xfId="0" applyNumberFormat="1" applyFont="1" applyBorder="1" applyAlignment="1">
      <alignment horizontal="center" vertical="center"/>
    </xf>
    <xf numFmtId="3" fontId="13" fillId="3" borderId="14" xfId="0" applyNumberFormat="1" applyFont="1" applyFill="1" applyBorder="1" applyAlignment="1">
      <alignment horizontal="right" vertical="center"/>
    </xf>
    <xf numFmtId="3" fontId="13" fillId="3" borderId="33" xfId="1" applyNumberFormat="1" applyFont="1" applyFill="1" applyBorder="1" applyAlignment="1">
      <alignment vertical="center"/>
    </xf>
    <xf numFmtId="3" fontId="13" fillId="3" borderId="65" xfId="0" applyNumberFormat="1" applyFont="1" applyFill="1" applyBorder="1" applyAlignment="1">
      <alignment horizontal="right" vertical="center" wrapText="1"/>
    </xf>
    <xf numFmtId="3" fontId="13" fillId="3" borderId="31" xfId="1" applyNumberFormat="1" applyFont="1" applyFill="1" applyBorder="1" applyAlignment="1">
      <alignment horizontal="right" vertical="center" wrapText="1"/>
    </xf>
    <xf numFmtId="4" fontId="18" fillId="0" borderId="13" xfId="0" applyNumberFormat="1" applyFont="1" applyBorder="1" applyAlignment="1">
      <alignment horizontal="center" vertical="center"/>
    </xf>
    <xf numFmtId="49" fontId="13" fillId="0" borderId="22" xfId="0" applyNumberFormat="1" applyFont="1" applyBorder="1" applyAlignment="1">
      <alignment horizontal="center" vertical="center"/>
    </xf>
    <xf numFmtId="49" fontId="13" fillId="2" borderId="23" xfId="0" applyNumberFormat="1" applyFont="1" applyFill="1" applyBorder="1" applyAlignment="1">
      <alignment horizontal="center" vertical="center" wrapText="1"/>
    </xf>
    <xf numFmtId="49" fontId="13" fillId="2" borderId="23" xfId="0" applyNumberFormat="1" applyFont="1" applyFill="1" applyBorder="1" applyAlignment="1">
      <alignment horizontal="center" vertical="center" wrapText="1" shrinkToFit="1"/>
    </xf>
    <xf numFmtId="0" fontId="14" fillId="2" borderId="27" xfId="1" applyFont="1" applyFill="1" applyBorder="1" applyAlignment="1">
      <alignment horizontal="center" vertical="center" wrapText="1"/>
    </xf>
    <xf numFmtId="3" fontId="11" fillId="2" borderId="44" xfId="0" applyNumberFormat="1" applyFont="1" applyFill="1" applyBorder="1" applyAlignment="1">
      <alignment vertical="center" wrapText="1"/>
    </xf>
    <xf numFmtId="3" fontId="11" fillId="2" borderId="51" xfId="0" applyNumberFormat="1" applyFont="1" applyFill="1" applyBorder="1" applyAlignment="1">
      <alignment vertical="center" wrapText="1"/>
    </xf>
    <xf numFmtId="3" fontId="11" fillId="2" borderId="24" xfId="0" applyNumberFormat="1" applyFont="1" applyFill="1" applyBorder="1" applyAlignment="1">
      <alignment vertical="center" wrapText="1"/>
    </xf>
    <xf numFmtId="3" fontId="13" fillId="2" borderId="24" xfId="0" applyNumberFormat="1" applyFont="1" applyFill="1" applyBorder="1" applyAlignment="1">
      <alignment horizontal="right" vertical="center" wrapText="1"/>
    </xf>
    <xf numFmtId="3" fontId="11" fillId="2" borderId="58" xfId="0" applyNumberFormat="1" applyFont="1" applyFill="1" applyBorder="1" applyAlignment="1">
      <alignment horizontal="right" vertical="center" wrapText="1"/>
    </xf>
    <xf numFmtId="3" fontId="11" fillId="2" borderId="44" xfId="0" applyNumberFormat="1" applyFont="1" applyFill="1" applyBorder="1" applyAlignment="1">
      <alignment horizontal="right" vertical="center" wrapText="1"/>
    </xf>
    <xf numFmtId="3" fontId="11" fillId="2" borderId="24" xfId="0" applyNumberFormat="1" applyFont="1" applyFill="1" applyBorder="1" applyAlignment="1">
      <alignment horizontal="right" vertical="center" wrapText="1"/>
    </xf>
    <xf numFmtId="49" fontId="11" fillId="2" borderId="25" xfId="0" applyNumberFormat="1" applyFont="1" applyFill="1" applyBorder="1" applyAlignment="1">
      <alignment horizontal="center" vertical="center" wrapText="1"/>
    </xf>
    <xf numFmtId="49" fontId="13" fillId="2" borderId="26" xfId="0" applyNumberFormat="1" applyFont="1" applyFill="1" applyBorder="1" applyAlignment="1">
      <alignment horizontal="center" vertical="center" wrapText="1"/>
    </xf>
    <xf numFmtId="49" fontId="13" fillId="2" borderId="26" xfId="0" applyNumberFormat="1" applyFont="1" applyFill="1" applyBorder="1" applyAlignment="1">
      <alignment horizontal="center" vertical="center" wrapText="1" shrinkToFit="1"/>
    </xf>
    <xf numFmtId="0" fontId="14" fillId="2" borderId="37" xfId="1" applyFont="1" applyFill="1" applyBorder="1" applyAlignment="1">
      <alignment horizontal="center" vertical="center" wrapText="1"/>
    </xf>
    <xf numFmtId="3" fontId="11" fillId="2" borderId="26" xfId="0" applyNumberFormat="1" applyFont="1" applyFill="1" applyBorder="1" applyAlignment="1">
      <alignment horizontal="right" vertical="center" wrapText="1"/>
    </xf>
    <xf numFmtId="3" fontId="13" fillId="2" borderId="32" xfId="0" applyNumberFormat="1" applyFont="1" applyFill="1" applyBorder="1" applyAlignment="1">
      <alignment horizontal="right" vertical="center" wrapText="1"/>
    </xf>
    <xf numFmtId="3" fontId="13" fillId="2" borderId="26" xfId="0" applyNumberFormat="1" applyFont="1" applyFill="1" applyBorder="1" applyAlignment="1">
      <alignment horizontal="right" vertical="center" wrapText="1"/>
    </xf>
    <xf numFmtId="3" fontId="11" fillId="2" borderId="47" xfId="0" applyNumberFormat="1" applyFont="1" applyFill="1" applyBorder="1" applyAlignment="1">
      <alignment horizontal="right" vertical="center" wrapText="1"/>
    </xf>
    <xf numFmtId="3" fontId="11" fillId="2" borderId="36" xfId="0" applyNumberFormat="1" applyFont="1" applyFill="1" applyBorder="1" applyAlignment="1">
      <alignment horizontal="right" vertical="center" wrapText="1"/>
    </xf>
    <xf numFmtId="3" fontId="11" fillId="2" borderId="32" xfId="0" applyNumberFormat="1" applyFont="1" applyFill="1" applyBorder="1" applyAlignment="1">
      <alignment horizontal="right" vertical="center" wrapText="1"/>
    </xf>
    <xf numFmtId="49" fontId="11" fillId="2" borderId="31" xfId="0" applyNumberFormat="1" applyFont="1" applyFill="1" applyBorder="1" applyAlignment="1">
      <alignment horizontal="center" vertical="center" wrapText="1"/>
    </xf>
    <xf numFmtId="49" fontId="13" fillId="2" borderId="30" xfId="0" applyNumberFormat="1" applyFont="1" applyFill="1" applyBorder="1" applyAlignment="1">
      <alignment horizontal="center" vertical="center"/>
    </xf>
    <xf numFmtId="49" fontId="13" fillId="2" borderId="18" xfId="0" applyNumberFormat="1" applyFont="1" applyFill="1" applyBorder="1" applyAlignment="1">
      <alignment horizontal="center" vertical="center" wrapText="1" shrinkToFit="1"/>
    </xf>
    <xf numFmtId="0" fontId="14" fillId="2" borderId="1" xfId="0" applyFont="1" applyFill="1" applyBorder="1" applyAlignment="1">
      <alignment horizontal="center" vertical="center" wrapText="1"/>
    </xf>
    <xf numFmtId="3" fontId="13" fillId="2" borderId="16" xfId="1" applyNumberFormat="1" applyFont="1" applyFill="1" applyBorder="1" applyAlignment="1">
      <alignment vertical="center" wrapText="1"/>
    </xf>
    <xf numFmtId="3" fontId="13" fillId="2" borderId="55" xfId="1" applyNumberFormat="1" applyFont="1" applyFill="1" applyBorder="1" applyAlignment="1">
      <alignment vertical="center" wrapText="1"/>
    </xf>
    <xf numFmtId="3" fontId="13" fillId="2" borderId="18" xfId="1" applyNumberFormat="1" applyFont="1" applyFill="1" applyBorder="1" applyAlignment="1">
      <alignment horizontal="right" vertical="center" wrapText="1"/>
    </xf>
    <xf numFmtId="3" fontId="11" fillId="2" borderId="55" xfId="0" applyNumberFormat="1" applyFont="1" applyFill="1" applyBorder="1" applyAlignment="1">
      <alignment horizontal="right" vertical="center" wrapText="1"/>
    </xf>
    <xf numFmtId="3" fontId="11" fillId="2" borderId="16" xfId="0" applyNumberFormat="1" applyFont="1" applyFill="1" applyBorder="1" applyAlignment="1">
      <alignment horizontal="right" vertical="center" wrapText="1"/>
    </xf>
    <xf numFmtId="3" fontId="11" fillId="2" borderId="72" xfId="0" applyNumberFormat="1" applyFont="1" applyFill="1" applyBorder="1" applyAlignment="1">
      <alignment horizontal="right" vertical="center" wrapText="1"/>
    </xf>
    <xf numFmtId="3" fontId="11" fillId="2" borderId="1" xfId="0" applyNumberFormat="1" applyFont="1" applyFill="1" applyBorder="1" applyAlignment="1">
      <alignment horizontal="right" vertical="center" wrapText="1"/>
    </xf>
    <xf numFmtId="3" fontId="11" fillId="2" borderId="30" xfId="0" applyNumberFormat="1" applyFont="1" applyFill="1" applyBorder="1" applyAlignment="1">
      <alignment horizontal="right" vertical="center" wrapText="1"/>
    </xf>
    <xf numFmtId="3" fontId="13" fillId="2" borderId="18" xfId="0" applyNumberFormat="1" applyFont="1" applyFill="1" applyBorder="1" applyAlignment="1">
      <alignment horizontal="right" vertical="center" wrapText="1"/>
    </xf>
    <xf numFmtId="3" fontId="11" fillId="2" borderId="18" xfId="0" applyNumberFormat="1" applyFont="1" applyFill="1" applyBorder="1" applyAlignment="1">
      <alignment horizontal="right" vertical="center" wrapText="1"/>
    </xf>
    <xf numFmtId="3" fontId="13" fillId="2" borderId="72" xfId="0" applyNumberFormat="1" applyFont="1" applyFill="1" applyBorder="1" applyAlignment="1">
      <alignment horizontal="right" vertical="center" wrapText="1"/>
    </xf>
    <xf numFmtId="0" fontId="36" fillId="2" borderId="15" xfId="0" applyFont="1" applyFill="1" applyBorder="1" applyAlignment="1">
      <alignment horizontal="center" vertical="center" wrapText="1"/>
    </xf>
    <xf numFmtId="49" fontId="36" fillId="2" borderId="13" xfId="0" applyNumberFormat="1" applyFont="1" applyFill="1" applyBorder="1" applyAlignment="1">
      <alignment horizontal="center" vertical="center" wrapText="1"/>
    </xf>
    <xf numFmtId="0" fontId="39" fillId="2" borderId="19" xfId="0" applyFont="1" applyFill="1" applyBorder="1" applyAlignment="1">
      <alignment horizontal="center" vertical="center" wrapText="1"/>
    </xf>
    <xf numFmtId="0" fontId="19" fillId="2" borderId="13" xfId="0" applyFont="1" applyFill="1" applyBorder="1" applyAlignment="1">
      <alignment horizontal="center" vertical="center" wrapText="1"/>
    </xf>
    <xf numFmtId="0" fontId="19" fillId="2" borderId="19" xfId="0" applyFont="1" applyFill="1" applyBorder="1" applyAlignment="1">
      <alignment horizontal="center" vertical="center" wrapText="1"/>
    </xf>
    <xf numFmtId="3" fontId="36" fillId="2" borderId="13" xfId="0" applyNumberFormat="1" applyFont="1" applyFill="1" applyBorder="1" applyAlignment="1">
      <alignment horizontal="right" vertical="center" wrapText="1"/>
    </xf>
    <xf numFmtId="3" fontId="19" fillId="2" borderId="54" xfId="0" applyNumberFormat="1" applyFont="1" applyFill="1" applyBorder="1" applyAlignment="1">
      <alignment horizontal="right" vertical="center" wrapText="1"/>
    </xf>
    <xf numFmtId="3" fontId="19" fillId="2" borderId="19" xfId="0" applyNumberFormat="1" applyFont="1" applyFill="1" applyBorder="1" applyAlignment="1">
      <alignment horizontal="right" vertical="center" wrapText="1"/>
    </xf>
    <xf numFmtId="3" fontId="19" fillId="2" borderId="60" xfId="0" applyNumberFormat="1" applyFont="1" applyFill="1" applyBorder="1" applyAlignment="1">
      <alignment horizontal="right" vertical="center" wrapText="1"/>
    </xf>
    <xf numFmtId="3" fontId="19" fillId="2" borderId="45" xfId="0" applyNumberFormat="1" applyFont="1" applyFill="1" applyBorder="1" applyAlignment="1">
      <alignment horizontal="right" vertical="center" wrapText="1"/>
    </xf>
    <xf numFmtId="3" fontId="19" fillId="2" borderId="15" xfId="0" applyNumberFormat="1" applyFont="1" applyFill="1" applyBorder="1" applyAlignment="1">
      <alignment horizontal="right" vertical="center" wrapText="1"/>
    </xf>
    <xf numFmtId="0" fontId="19" fillId="2" borderId="13" xfId="0" applyFont="1" applyFill="1" applyBorder="1" applyAlignment="1">
      <alignment horizontal="right" vertical="center" wrapText="1"/>
    </xf>
    <xf numFmtId="0" fontId="19" fillId="2" borderId="79" xfId="0" applyFont="1" applyFill="1" applyBorder="1" applyAlignment="1">
      <alignment horizontal="right" vertical="center" wrapText="1"/>
    </xf>
    <xf numFmtId="0" fontId="19" fillId="2" borderId="19" xfId="0" applyFont="1" applyFill="1" applyBorder="1" applyAlignment="1">
      <alignment horizontal="right" vertical="center" wrapText="1"/>
    </xf>
    <xf numFmtId="0" fontId="19" fillId="2" borderId="82" xfId="0" applyFont="1" applyFill="1" applyBorder="1" applyAlignment="1">
      <alignment horizontal="right" vertical="center" wrapText="1"/>
    </xf>
    <xf numFmtId="0" fontId="19" fillId="2" borderId="45" xfId="0" applyFont="1" applyFill="1" applyBorder="1" applyAlignment="1">
      <alignment horizontal="right" vertical="center" wrapText="1"/>
    </xf>
    <xf numFmtId="49" fontId="19" fillId="2" borderId="19" xfId="0" applyNumberFormat="1" applyFont="1" applyFill="1" applyBorder="1" applyAlignment="1">
      <alignment horizontal="center" vertical="center" wrapText="1"/>
    </xf>
    <xf numFmtId="0" fontId="13" fillId="12" borderId="25" xfId="0" applyFont="1" applyFill="1" applyBorder="1" applyAlignment="1">
      <alignment horizontal="center" vertical="center" wrapText="1"/>
    </xf>
    <xf numFmtId="49" fontId="13" fillId="12" borderId="25" xfId="0" applyNumberFormat="1" applyFont="1" applyFill="1" applyBorder="1" applyAlignment="1">
      <alignment horizontal="center" vertical="center" wrapText="1"/>
    </xf>
    <xf numFmtId="0" fontId="14" fillId="12" borderId="23" xfId="0" applyFont="1" applyFill="1" applyBorder="1" applyAlignment="1">
      <alignment horizontal="center" vertical="center" wrapText="1"/>
    </xf>
    <xf numFmtId="3" fontId="13" fillId="12" borderId="23" xfId="0" applyNumberFormat="1" applyFont="1" applyFill="1" applyBorder="1" applyAlignment="1">
      <alignment vertical="center" wrapText="1"/>
    </xf>
    <xf numFmtId="3" fontId="13" fillId="12" borderId="23" xfId="0" applyNumberFormat="1" applyFont="1" applyFill="1" applyBorder="1" applyAlignment="1">
      <alignment horizontal="right" vertical="center" wrapText="1"/>
    </xf>
    <xf numFmtId="3" fontId="11" fillId="12" borderId="24" xfId="0" applyNumberFormat="1" applyFont="1" applyFill="1" applyBorder="1" applyAlignment="1">
      <alignment horizontal="right" vertical="center" wrapText="1"/>
    </xf>
    <xf numFmtId="3" fontId="11" fillId="12" borderId="23" xfId="0" applyNumberFormat="1" applyFont="1" applyFill="1" applyBorder="1" applyAlignment="1">
      <alignment horizontal="right" vertical="center" wrapText="1"/>
    </xf>
    <xf numFmtId="3" fontId="11" fillId="12" borderId="44" xfId="0" applyNumberFormat="1" applyFont="1" applyFill="1" applyBorder="1" applyAlignment="1">
      <alignment horizontal="right" vertical="center" wrapText="1"/>
    </xf>
    <xf numFmtId="3" fontId="11" fillId="12" borderId="51" xfId="0" applyNumberFormat="1" applyFont="1" applyFill="1" applyBorder="1" applyAlignment="1">
      <alignment horizontal="right" vertical="center" wrapText="1"/>
    </xf>
    <xf numFmtId="3" fontId="11" fillId="12" borderId="58" xfId="0" applyNumberFormat="1" applyFont="1" applyFill="1" applyBorder="1" applyAlignment="1">
      <alignment horizontal="right" vertical="center" wrapText="1"/>
    </xf>
    <xf numFmtId="3" fontId="11" fillId="12" borderId="21" xfId="0" applyNumberFormat="1" applyFont="1" applyFill="1" applyBorder="1" applyAlignment="1">
      <alignment horizontal="right" vertical="center" wrapText="1"/>
    </xf>
    <xf numFmtId="0" fontId="13" fillId="12" borderId="31" xfId="0" applyFont="1" applyFill="1" applyBorder="1" applyAlignment="1">
      <alignment horizontal="center" vertical="center" wrapText="1"/>
    </xf>
    <xf numFmtId="49" fontId="13" fillId="12" borderId="31" xfId="0" applyNumberFormat="1" applyFont="1" applyFill="1" applyBorder="1" applyAlignment="1">
      <alignment horizontal="center" vertical="center" wrapText="1"/>
    </xf>
    <xf numFmtId="0" fontId="14" fillId="12" borderId="26" xfId="0" applyFont="1" applyFill="1" applyBorder="1" applyAlignment="1">
      <alignment horizontal="center" vertical="center" wrapText="1"/>
    </xf>
    <xf numFmtId="3" fontId="13" fillId="12" borderId="26" xfId="0" applyNumberFormat="1" applyFont="1" applyFill="1" applyBorder="1" applyAlignment="1">
      <alignment vertical="center" wrapText="1"/>
    </xf>
    <xf numFmtId="3" fontId="13" fillId="12" borderId="26" xfId="0" applyNumberFormat="1" applyFont="1" applyFill="1" applyBorder="1" applyAlignment="1">
      <alignment horizontal="right" vertical="center" wrapText="1"/>
    </xf>
    <xf numFmtId="3" fontId="11" fillId="12" borderId="47" xfId="0" applyNumberFormat="1" applyFont="1" applyFill="1" applyBorder="1" applyAlignment="1">
      <alignment horizontal="right" vertical="center" wrapText="1"/>
    </xf>
    <xf numFmtId="3" fontId="11" fillId="12" borderId="32" xfId="0" applyNumberFormat="1" applyFont="1" applyFill="1" applyBorder="1" applyAlignment="1">
      <alignment horizontal="right" vertical="center" wrapText="1"/>
    </xf>
    <xf numFmtId="3" fontId="11" fillId="12" borderId="26" xfId="0" applyNumberFormat="1" applyFont="1" applyFill="1" applyBorder="1" applyAlignment="1">
      <alignment horizontal="right" vertical="center" wrapText="1"/>
    </xf>
    <xf numFmtId="3" fontId="11" fillId="12" borderId="36" xfId="0" applyNumberFormat="1" applyFont="1" applyFill="1" applyBorder="1" applyAlignment="1">
      <alignment horizontal="right" vertical="center" wrapText="1"/>
    </xf>
    <xf numFmtId="3" fontId="11" fillId="12" borderId="42" xfId="0" applyNumberFormat="1" applyFont="1" applyFill="1" applyBorder="1" applyAlignment="1">
      <alignment horizontal="right" vertical="center" wrapText="1"/>
    </xf>
    <xf numFmtId="3" fontId="11" fillId="12" borderId="20" xfId="0" applyNumberFormat="1" applyFont="1" applyFill="1" applyBorder="1" applyAlignment="1">
      <alignment horizontal="right" vertical="center" wrapText="1"/>
    </xf>
    <xf numFmtId="3" fontId="11" fillId="2" borderId="6" xfId="0" applyNumberFormat="1" applyFont="1" applyFill="1" applyBorder="1" applyAlignment="1">
      <alignment horizontal="right" vertical="center" wrapText="1"/>
    </xf>
    <xf numFmtId="3" fontId="11" fillId="2" borderId="69" xfId="0" applyNumberFormat="1" applyFont="1" applyFill="1" applyBorder="1" applyAlignment="1">
      <alignment horizontal="right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49" fontId="16" fillId="2" borderId="4" xfId="0" applyNumberFormat="1" applyFont="1" applyFill="1" applyBorder="1" applyAlignment="1">
      <alignment horizontal="center" vertical="center" wrapText="1" shrinkToFit="1"/>
    </xf>
    <xf numFmtId="0" fontId="47" fillId="2" borderId="4" xfId="1" applyFont="1" applyFill="1" applyBorder="1" applyAlignment="1">
      <alignment horizontal="center" vertical="center" wrapText="1"/>
    </xf>
    <xf numFmtId="0" fontId="15" fillId="2" borderId="9" xfId="1" applyFont="1" applyFill="1" applyBorder="1" applyAlignment="1">
      <alignment horizontal="center" vertical="center" wrapText="1"/>
    </xf>
    <xf numFmtId="0" fontId="15" fillId="2" borderId="2" xfId="1" applyFont="1" applyFill="1" applyBorder="1" applyAlignment="1">
      <alignment horizontal="center" vertical="center" wrapText="1"/>
    </xf>
    <xf numFmtId="3" fontId="16" fillId="2" borderId="2" xfId="1" applyNumberFormat="1" applyFont="1" applyFill="1" applyBorder="1" applyAlignment="1">
      <alignment vertical="center" wrapText="1"/>
    </xf>
    <xf numFmtId="3" fontId="16" fillId="2" borderId="4" xfId="1" applyNumberFormat="1" applyFont="1" applyFill="1" applyBorder="1" applyAlignment="1">
      <alignment vertical="center" wrapText="1"/>
    </xf>
    <xf numFmtId="3" fontId="15" fillId="2" borderId="62" xfId="1" applyNumberFormat="1" applyFont="1" applyFill="1" applyBorder="1" applyAlignment="1">
      <alignment vertical="center" wrapText="1"/>
    </xf>
    <xf numFmtId="3" fontId="15" fillId="2" borderId="46" xfId="1" applyNumberFormat="1" applyFont="1" applyFill="1" applyBorder="1" applyAlignment="1">
      <alignment vertical="center" wrapText="1"/>
    </xf>
    <xf numFmtId="3" fontId="15" fillId="2" borderId="53" xfId="0" applyNumberFormat="1" applyFont="1" applyFill="1" applyBorder="1" applyAlignment="1">
      <alignment vertical="center" wrapText="1"/>
    </xf>
    <xf numFmtId="3" fontId="15" fillId="2" borderId="8" xfId="0" applyNumberFormat="1" applyFont="1" applyFill="1" applyBorder="1" applyAlignment="1">
      <alignment vertical="center" wrapText="1"/>
    </xf>
    <xf numFmtId="3" fontId="15" fillId="2" borderId="62" xfId="0" applyNumberFormat="1" applyFont="1" applyFill="1" applyBorder="1" applyAlignment="1">
      <alignment vertical="center" wrapText="1"/>
    </xf>
    <xf numFmtId="3" fontId="15" fillId="2" borderId="2" xfId="0" applyNumberFormat="1" applyFont="1" applyFill="1" applyBorder="1" applyAlignment="1">
      <alignment horizontal="right" vertical="center" wrapText="1"/>
    </xf>
    <xf numFmtId="3" fontId="16" fillId="2" borderId="9" xfId="0" applyNumberFormat="1" applyFont="1" applyFill="1" applyBorder="1" applyAlignment="1">
      <alignment horizontal="right" vertical="center" wrapText="1"/>
    </xf>
    <xf numFmtId="3" fontId="16" fillId="2" borderId="26" xfId="0" applyNumberFormat="1" applyFont="1" applyFill="1" applyBorder="1" applyAlignment="1">
      <alignment horizontal="right" vertical="center" wrapText="1"/>
    </xf>
    <xf numFmtId="3" fontId="15" fillId="2" borderId="2" xfId="0" applyNumberFormat="1" applyFont="1" applyFill="1" applyBorder="1" applyAlignment="1">
      <alignment vertical="center" wrapText="1"/>
    </xf>
    <xf numFmtId="3" fontId="15" fillId="2" borderId="4" xfId="0" applyNumberFormat="1" applyFont="1" applyFill="1" applyBorder="1" applyAlignment="1">
      <alignment vertical="center" wrapText="1"/>
    </xf>
    <xf numFmtId="3" fontId="15" fillId="2" borderId="63" xfId="0" applyNumberFormat="1" applyFont="1" applyFill="1" applyBorder="1" applyAlignment="1">
      <alignment vertical="center" wrapText="1"/>
    </xf>
    <xf numFmtId="3" fontId="15" fillId="2" borderId="9" xfId="1" applyNumberFormat="1" applyFont="1" applyFill="1" applyBorder="1" applyAlignment="1">
      <alignment vertical="center" wrapText="1"/>
    </xf>
    <xf numFmtId="3" fontId="15" fillId="2" borderId="62" xfId="0" applyNumberFormat="1" applyFont="1" applyFill="1" applyBorder="1" applyAlignment="1">
      <alignment horizontal="right" vertical="center" wrapText="1"/>
    </xf>
    <xf numFmtId="3" fontId="15" fillId="2" borderId="53" xfId="0" applyNumberFormat="1" applyFont="1" applyFill="1" applyBorder="1" applyAlignment="1">
      <alignment horizontal="right" vertical="center" wrapText="1"/>
    </xf>
    <xf numFmtId="3" fontId="15" fillId="2" borderId="9" xfId="0" applyNumberFormat="1" applyFont="1" applyFill="1" applyBorder="1" applyAlignment="1">
      <alignment horizontal="right" vertical="center" wrapText="1"/>
    </xf>
    <xf numFmtId="3" fontId="15" fillId="2" borderId="2" xfId="0" applyNumberFormat="1" applyFont="1" applyFill="1" applyBorder="1" applyAlignment="1">
      <alignment horizontal="center" vertical="center" wrapText="1"/>
    </xf>
    <xf numFmtId="49" fontId="15" fillId="2" borderId="4" xfId="0" applyNumberFormat="1" applyFont="1" applyFill="1" applyBorder="1" applyAlignment="1">
      <alignment horizontal="center" vertical="center" wrapText="1"/>
    </xf>
    <xf numFmtId="49" fontId="15" fillId="2" borderId="2" xfId="0" applyNumberFormat="1" applyFont="1" applyFill="1" applyBorder="1" applyAlignment="1">
      <alignment horizontal="center" vertical="center" wrapText="1"/>
    </xf>
    <xf numFmtId="49" fontId="21" fillId="0" borderId="26" xfId="0" applyNumberFormat="1" applyFont="1" applyBorder="1" applyAlignment="1">
      <alignment horizontal="center" vertical="center" wrapText="1"/>
    </xf>
    <xf numFmtId="3" fontId="21" fillId="3" borderId="32" xfId="0" applyNumberFormat="1" applyFont="1" applyFill="1" applyBorder="1" applyAlignment="1">
      <alignment horizontal="right" vertical="center" wrapText="1"/>
    </xf>
    <xf numFmtId="3" fontId="16" fillId="2" borderId="2" xfId="0" applyNumberFormat="1" applyFont="1" applyFill="1" applyBorder="1" applyAlignment="1">
      <alignment horizontal="right" vertical="center" wrapText="1"/>
    </xf>
    <xf numFmtId="3" fontId="15" fillId="2" borderId="8" xfId="1" applyNumberFormat="1" applyFont="1" applyFill="1" applyBorder="1" applyAlignment="1">
      <alignment vertical="center" wrapText="1"/>
    </xf>
    <xf numFmtId="0" fontId="15" fillId="2" borderId="23" xfId="1" applyFont="1" applyFill="1" applyBorder="1" applyAlignment="1">
      <alignment horizontal="center" vertical="center" wrapText="1"/>
    </xf>
    <xf numFmtId="49" fontId="13" fillId="2" borderId="13" xfId="0" applyNumberFormat="1" applyFont="1" applyFill="1" applyBorder="1" applyAlignment="1">
      <alignment horizontal="center" vertical="center" wrapText="1"/>
    </xf>
    <xf numFmtId="49" fontId="13" fillId="2" borderId="15" xfId="0" applyNumberFormat="1" applyFont="1" applyFill="1" applyBorder="1" applyAlignment="1">
      <alignment horizontal="center" vertical="center" wrapText="1" shrinkToFit="1"/>
    </xf>
    <xf numFmtId="0" fontId="14" fillId="2" borderId="15" xfId="1" applyFont="1" applyFill="1" applyBorder="1" applyAlignment="1">
      <alignment horizontal="center" vertical="center" wrapText="1"/>
    </xf>
    <xf numFmtId="3" fontId="13" fillId="2" borderId="57" xfId="1" applyNumberFormat="1" applyFont="1" applyFill="1" applyBorder="1" applyAlignment="1">
      <alignment vertical="center" wrapText="1"/>
    </xf>
    <xf numFmtId="3" fontId="11" fillId="2" borderId="72" xfId="0" applyNumberFormat="1" applyFont="1" applyFill="1" applyBorder="1" applyAlignment="1">
      <alignment vertical="center" wrapText="1"/>
    </xf>
    <xf numFmtId="3" fontId="11" fillId="2" borderId="68" xfId="0" applyNumberFormat="1" applyFont="1" applyFill="1" applyBorder="1" applyAlignment="1">
      <alignment vertical="center" wrapText="1"/>
    </xf>
    <xf numFmtId="3" fontId="11" fillId="2" borderId="16" xfId="0" applyNumberFormat="1" applyFont="1" applyFill="1" applyBorder="1" applyAlignment="1">
      <alignment vertical="center" wrapText="1"/>
    </xf>
    <xf numFmtId="3" fontId="13" fillId="2" borderId="14" xfId="0" applyNumberFormat="1" applyFont="1" applyFill="1" applyBorder="1" applyAlignment="1">
      <alignment horizontal="right" vertical="center" wrapText="1"/>
    </xf>
    <xf numFmtId="3" fontId="11" fillId="2" borderId="38" xfId="0" applyNumberFormat="1" applyFont="1" applyFill="1" applyBorder="1" applyAlignment="1">
      <alignment horizontal="right" vertical="center" wrapText="1"/>
    </xf>
    <xf numFmtId="49" fontId="11" fillId="2" borderId="15" xfId="0" applyNumberFormat="1" applyFont="1" applyFill="1" applyBorder="1" applyAlignment="1">
      <alignment horizontal="center" vertical="center" wrapText="1"/>
    </xf>
    <xf numFmtId="49" fontId="13" fillId="2" borderId="18" xfId="0" applyNumberFormat="1" applyFont="1" applyFill="1" applyBorder="1" applyAlignment="1">
      <alignment horizontal="center" vertical="center" wrapText="1"/>
    </xf>
    <xf numFmtId="0" fontId="14" fillId="2" borderId="12" xfId="0" applyFont="1" applyFill="1" applyBorder="1" applyAlignment="1">
      <alignment horizontal="center" vertical="center" wrapText="1"/>
    </xf>
    <xf numFmtId="3" fontId="13" fillId="2" borderId="18" xfId="1" applyNumberFormat="1" applyFont="1" applyFill="1" applyBorder="1" applyAlignment="1">
      <alignment vertical="center" wrapText="1"/>
    </xf>
    <xf numFmtId="3" fontId="13" fillId="2" borderId="12" xfId="1" applyNumberFormat="1" applyFont="1" applyFill="1" applyBorder="1" applyAlignment="1">
      <alignment vertical="center" wrapText="1"/>
    </xf>
    <xf numFmtId="3" fontId="11" fillId="2" borderId="38" xfId="0" applyNumberFormat="1" applyFont="1" applyFill="1" applyBorder="1" applyAlignment="1">
      <alignment vertical="center" wrapText="1"/>
    </xf>
    <xf numFmtId="3" fontId="11" fillId="2" borderId="5" xfId="0" applyNumberFormat="1" applyFont="1" applyFill="1" applyBorder="1" applyAlignment="1">
      <alignment vertical="center" wrapText="1"/>
    </xf>
    <xf numFmtId="3" fontId="11" fillId="2" borderId="55" xfId="0" applyNumberFormat="1" applyFont="1" applyFill="1" applyBorder="1" applyAlignment="1">
      <alignment vertical="center" wrapText="1"/>
    </xf>
    <xf numFmtId="3" fontId="11" fillId="2" borderId="6" xfId="0" applyNumberFormat="1" applyFont="1" applyFill="1" applyBorder="1" applyAlignment="1">
      <alignment vertical="center" wrapText="1"/>
    </xf>
    <xf numFmtId="3" fontId="11" fillId="2" borderId="18" xfId="0" applyNumberFormat="1" applyFont="1" applyFill="1" applyBorder="1" applyAlignment="1">
      <alignment vertical="center" wrapText="1"/>
    </xf>
    <xf numFmtId="3" fontId="11" fillId="2" borderId="56" xfId="0" applyNumberFormat="1" applyFont="1" applyFill="1" applyBorder="1" applyAlignment="1">
      <alignment vertical="center" wrapText="1"/>
    </xf>
    <xf numFmtId="3" fontId="11" fillId="2" borderId="56" xfId="0" applyNumberFormat="1" applyFont="1" applyFill="1" applyBorder="1" applyAlignment="1">
      <alignment horizontal="right" vertical="center" wrapText="1"/>
    </xf>
    <xf numFmtId="3" fontId="11" fillId="2" borderId="5" xfId="0" applyNumberFormat="1" applyFont="1" applyFill="1" applyBorder="1" applyAlignment="1">
      <alignment horizontal="right" vertical="center" wrapText="1"/>
    </xf>
    <xf numFmtId="49" fontId="11" fillId="2" borderId="12" xfId="0" applyNumberFormat="1" applyFont="1" applyFill="1" applyBorder="1" applyAlignment="1">
      <alignment horizontal="center" vertical="center"/>
    </xf>
    <xf numFmtId="49" fontId="16" fillId="2" borderId="18" xfId="0" applyNumberFormat="1" applyFont="1" applyFill="1" applyBorder="1" applyAlignment="1">
      <alignment horizontal="center" vertical="center" wrapText="1"/>
    </xf>
    <xf numFmtId="49" fontId="16" fillId="2" borderId="18" xfId="0" applyNumberFormat="1" applyFont="1" applyFill="1" applyBorder="1" applyAlignment="1">
      <alignment horizontal="center" vertical="center" wrapText="1" shrinkToFit="1"/>
    </xf>
    <xf numFmtId="0" fontId="47" fillId="2" borderId="12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15" fillId="2" borderId="6" xfId="1" applyFont="1" applyFill="1" applyBorder="1" applyAlignment="1">
      <alignment horizontal="center" vertical="center" wrapText="1"/>
    </xf>
    <xf numFmtId="0" fontId="15" fillId="2" borderId="18" xfId="1" applyFont="1" applyFill="1" applyBorder="1" applyAlignment="1">
      <alignment horizontal="center" vertical="center" wrapText="1"/>
    </xf>
    <xf numFmtId="3" fontId="16" fillId="2" borderId="18" xfId="1" applyNumberFormat="1" applyFont="1" applyFill="1" applyBorder="1" applyAlignment="1">
      <alignment vertical="center" wrapText="1"/>
    </xf>
    <xf numFmtId="3" fontId="16" fillId="2" borderId="12" xfId="1" applyNumberFormat="1" applyFont="1" applyFill="1" applyBorder="1" applyAlignment="1">
      <alignment vertical="center" wrapText="1"/>
    </xf>
    <xf numFmtId="3" fontId="15" fillId="2" borderId="55" xfId="1" applyNumberFormat="1" applyFont="1" applyFill="1" applyBorder="1" applyAlignment="1">
      <alignment vertical="center" wrapText="1"/>
    </xf>
    <xf numFmtId="3" fontId="15" fillId="2" borderId="57" xfId="1" applyNumberFormat="1" applyFont="1" applyFill="1" applyBorder="1" applyAlignment="1">
      <alignment vertical="center" wrapText="1"/>
    </xf>
    <xf numFmtId="3" fontId="15" fillId="2" borderId="38" xfId="0" applyNumberFormat="1" applyFont="1" applyFill="1" applyBorder="1" applyAlignment="1">
      <alignment vertical="center" wrapText="1"/>
    </xf>
    <xf numFmtId="3" fontId="15" fillId="2" borderId="39" xfId="0" applyNumberFormat="1" applyFont="1" applyFill="1" applyBorder="1" applyAlignment="1">
      <alignment vertical="center" wrapText="1"/>
    </xf>
    <xf numFmtId="3" fontId="15" fillId="2" borderId="55" xfId="0" applyNumberFormat="1" applyFont="1" applyFill="1" applyBorder="1" applyAlignment="1">
      <alignment vertical="center" wrapText="1"/>
    </xf>
    <xf numFmtId="3" fontId="15" fillId="2" borderId="6" xfId="0" applyNumberFormat="1" applyFont="1" applyFill="1" applyBorder="1" applyAlignment="1">
      <alignment vertical="center" wrapText="1"/>
    </xf>
    <xf numFmtId="3" fontId="15" fillId="2" borderId="18" xfId="0" applyNumberFormat="1" applyFont="1" applyFill="1" applyBorder="1" applyAlignment="1">
      <alignment horizontal="right" vertical="center" wrapText="1"/>
    </xf>
    <xf numFmtId="3" fontId="16" fillId="2" borderId="18" xfId="0" applyNumberFormat="1" applyFont="1" applyFill="1" applyBorder="1" applyAlignment="1">
      <alignment horizontal="right" vertical="center" wrapText="1"/>
    </xf>
    <xf numFmtId="3" fontId="15" fillId="2" borderId="18" xfId="0" applyNumberFormat="1" applyFont="1" applyFill="1" applyBorder="1" applyAlignment="1">
      <alignment vertical="center" wrapText="1"/>
    </xf>
    <xf numFmtId="3" fontId="15" fillId="2" borderId="56" xfId="0" applyNumberFormat="1" applyFont="1" applyFill="1" applyBorder="1" applyAlignment="1">
      <alignment vertical="center" wrapText="1"/>
    </xf>
    <xf numFmtId="3" fontId="15" fillId="2" borderId="5" xfId="0" applyNumberFormat="1" applyFont="1" applyFill="1" applyBorder="1" applyAlignment="1">
      <alignment vertical="center" wrapText="1"/>
    </xf>
    <xf numFmtId="3" fontId="15" fillId="2" borderId="55" xfId="0" applyNumberFormat="1" applyFont="1" applyFill="1" applyBorder="1" applyAlignment="1">
      <alignment horizontal="right" vertical="center" wrapText="1"/>
    </xf>
    <xf numFmtId="3" fontId="15" fillId="2" borderId="38" xfId="0" applyNumberFormat="1" applyFont="1" applyFill="1" applyBorder="1" applyAlignment="1">
      <alignment horizontal="right" vertical="center" wrapText="1"/>
    </xf>
    <xf numFmtId="3" fontId="15" fillId="2" borderId="56" xfId="0" applyNumberFormat="1" applyFont="1" applyFill="1" applyBorder="1" applyAlignment="1">
      <alignment horizontal="right" vertical="center" wrapText="1"/>
    </xf>
    <xf numFmtId="3" fontId="15" fillId="2" borderId="5" xfId="0" applyNumberFormat="1" applyFont="1" applyFill="1" applyBorder="1" applyAlignment="1">
      <alignment horizontal="right" vertical="center" wrapText="1"/>
    </xf>
    <xf numFmtId="0" fontId="15" fillId="2" borderId="12" xfId="0" applyFont="1" applyFill="1" applyBorder="1" applyAlignment="1">
      <alignment horizontal="center" vertical="center" wrapText="1"/>
    </xf>
    <xf numFmtId="49" fontId="15" fillId="2" borderId="12" xfId="0" applyNumberFormat="1" applyFont="1" applyFill="1" applyBorder="1" applyAlignment="1">
      <alignment horizontal="center" vertical="center"/>
    </xf>
    <xf numFmtId="49" fontId="15" fillId="2" borderId="18" xfId="0" applyNumberFormat="1" applyFont="1" applyFill="1" applyBorder="1" applyAlignment="1">
      <alignment horizontal="center" vertical="center"/>
    </xf>
    <xf numFmtId="3" fontId="15" fillId="2" borderId="6" xfId="0" applyNumberFormat="1" applyFont="1" applyFill="1" applyBorder="1" applyAlignment="1">
      <alignment horizontal="right" vertical="center" wrapText="1"/>
    </xf>
    <xf numFmtId="49" fontId="13" fillId="2" borderId="14" xfId="0" applyNumberFormat="1" applyFont="1" applyFill="1" applyBorder="1" applyAlignment="1">
      <alignment horizontal="center" vertical="center" wrapText="1"/>
    </xf>
    <xf numFmtId="49" fontId="13" fillId="2" borderId="14" xfId="0" applyNumberFormat="1" applyFont="1" applyFill="1" applyBorder="1" applyAlignment="1">
      <alignment horizontal="center" vertical="center" wrapText="1" shrinkToFit="1"/>
    </xf>
    <xf numFmtId="0" fontId="14" fillId="2" borderId="30" xfId="0" applyFont="1" applyFill="1" applyBorder="1" applyAlignment="1">
      <alignment horizontal="center" vertical="center" wrapText="1"/>
    </xf>
    <xf numFmtId="3" fontId="11" fillId="2" borderId="74" xfId="0" applyNumberFormat="1" applyFont="1" applyFill="1" applyBorder="1" applyAlignment="1">
      <alignment vertical="center" wrapText="1"/>
    </xf>
    <xf numFmtId="3" fontId="11" fillId="2" borderId="14" xfId="0" applyNumberFormat="1" applyFont="1" applyFill="1" applyBorder="1" applyAlignment="1">
      <alignment horizontal="right" vertical="center" wrapText="1"/>
    </xf>
    <xf numFmtId="3" fontId="11" fillId="2" borderId="68" xfId="0" applyNumberFormat="1" applyFont="1" applyFill="1" applyBorder="1" applyAlignment="1">
      <alignment horizontal="right" vertical="center" wrapText="1"/>
    </xf>
    <xf numFmtId="49" fontId="11" fillId="2" borderId="30" xfId="0" applyNumberFormat="1" applyFont="1" applyFill="1" applyBorder="1" applyAlignment="1">
      <alignment horizontal="center" vertical="center"/>
    </xf>
    <xf numFmtId="49" fontId="13" fillId="2" borderId="15" xfId="0" applyNumberFormat="1" applyFont="1" applyFill="1" applyBorder="1" applyAlignment="1">
      <alignment horizontal="center" vertical="center" wrapText="1"/>
    </xf>
    <xf numFmtId="49" fontId="13" fillId="2" borderId="13" xfId="0" applyNumberFormat="1" applyFont="1" applyFill="1" applyBorder="1" applyAlignment="1">
      <alignment horizontal="center" vertical="center"/>
    </xf>
    <xf numFmtId="49" fontId="13" fillId="2" borderId="45" xfId="0" applyNumberFormat="1" applyFont="1" applyFill="1" applyBorder="1" applyAlignment="1">
      <alignment horizontal="center" vertical="center"/>
    </xf>
    <xf numFmtId="3" fontId="13" fillId="2" borderId="14" xfId="1" applyNumberFormat="1" applyFont="1" applyFill="1" applyBorder="1" applyAlignment="1">
      <alignment vertical="center"/>
    </xf>
    <xf numFmtId="3" fontId="13" fillId="2" borderId="30" xfId="1" applyNumberFormat="1" applyFont="1" applyFill="1" applyBorder="1" applyAlignment="1">
      <alignment vertical="center"/>
    </xf>
    <xf numFmtId="3" fontId="11" fillId="2" borderId="14" xfId="0" applyNumberFormat="1" applyFont="1" applyFill="1" applyBorder="1" applyAlignment="1">
      <alignment vertical="center"/>
    </xf>
    <xf numFmtId="3" fontId="11" fillId="2" borderId="30" xfId="0" applyNumberFormat="1" applyFont="1" applyFill="1" applyBorder="1" applyAlignment="1">
      <alignment vertical="center"/>
    </xf>
    <xf numFmtId="0" fontId="14" fillId="2" borderId="27" xfId="0" applyFont="1" applyFill="1" applyBorder="1" applyAlignment="1">
      <alignment horizontal="center" vertical="center" wrapText="1"/>
    </xf>
    <xf numFmtId="3" fontId="13" fillId="2" borderId="23" xfId="0" applyNumberFormat="1" applyFont="1" applyFill="1" applyBorder="1" applyAlignment="1">
      <alignment horizontal="right" vertical="center"/>
    </xf>
    <xf numFmtId="3" fontId="11" fillId="2" borderId="25" xfId="0" applyNumberFormat="1" applyFont="1" applyFill="1" applyBorder="1" applyAlignment="1">
      <alignment horizontal="right" vertical="center"/>
    </xf>
    <xf numFmtId="3" fontId="11" fillId="2" borderId="58" xfId="0" applyNumberFormat="1" applyFont="1" applyFill="1" applyBorder="1" applyAlignment="1">
      <alignment horizontal="right" vertical="center"/>
    </xf>
    <xf numFmtId="3" fontId="11" fillId="2" borderId="75" xfId="0" applyNumberFormat="1" applyFont="1" applyFill="1" applyBorder="1" applyAlignment="1">
      <alignment horizontal="right" vertical="center"/>
    </xf>
    <xf numFmtId="3" fontId="11" fillId="2" borderId="46" xfId="0" applyNumberFormat="1" applyFont="1" applyFill="1" applyBorder="1" applyAlignment="1">
      <alignment vertical="center" wrapText="1"/>
    </xf>
    <xf numFmtId="3" fontId="13" fillId="2" borderId="23" xfId="0" applyNumberFormat="1" applyFont="1" applyFill="1" applyBorder="1" applyAlignment="1">
      <alignment horizontal="right" vertical="center" wrapText="1"/>
    </xf>
    <xf numFmtId="49" fontId="11" fillId="2" borderId="25" xfId="0" applyNumberFormat="1" applyFont="1" applyFill="1" applyBorder="1" applyAlignment="1">
      <alignment horizontal="center" vertical="center"/>
    </xf>
    <xf numFmtId="49" fontId="16" fillId="2" borderId="14" xfId="0" applyNumberFormat="1" applyFont="1" applyFill="1" applyBorder="1" applyAlignment="1">
      <alignment horizontal="center" vertical="center" wrapText="1"/>
    </xf>
    <xf numFmtId="49" fontId="16" fillId="2" borderId="14" xfId="0" applyNumberFormat="1" applyFont="1" applyFill="1" applyBorder="1" applyAlignment="1">
      <alignment horizontal="center" vertical="center" wrapText="1" shrinkToFit="1"/>
    </xf>
    <xf numFmtId="0" fontId="47" fillId="2" borderId="30" xfId="0" applyFont="1" applyFill="1" applyBorder="1" applyAlignment="1">
      <alignment horizontal="center" vertical="center" wrapText="1"/>
    </xf>
    <xf numFmtId="3" fontId="16" fillId="2" borderId="14" xfId="0" applyNumberFormat="1" applyFont="1" applyFill="1" applyBorder="1" applyAlignment="1">
      <alignment horizontal="right" vertical="center"/>
    </xf>
    <xf numFmtId="3" fontId="15" fillId="2" borderId="30" xfId="0" applyNumberFormat="1" applyFont="1" applyFill="1" applyBorder="1" applyAlignment="1">
      <alignment horizontal="right" vertical="center"/>
    </xf>
    <xf numFmtId="3" fontId="15" fillId="2" borderId="68" xfId="0" applyNumberFormat="1" applyFont="1" applyFill="1" applyBorder="1" applyAlignment="1">
      <alignment horizontal="right" vertical="center"/>
    </xf>
    <xf numFmtId="3" fontId="15" fillId="2" borderId="52" xfId="0" applyNumberFormat="1" applyFont="1" applyFill="1" applyBorder="1" applyAlignment="1">
      <alignment horizontal="right" vertical="center"/>
    </xf>
    <xf numFmtId="3" fontId="15" fillId="2" borderId="72" xfId="0" applyNumberFormat="1" applyFont="1" applyFill="1" applyBorder="1" applyAlignment="1">
      <alignment vertical="center" wrapText="1"/>
    </xf>
    <xf numFmtId="3" fontId="15" fillId="2" borderId="74" xfId="0" applyNumberFormat="1" applyFont="1" applyFill="1" applyBorder="1" applyAlignment="1">
      <alignment vertical="center" wrapText="1"/>
    </xf>
    <xf numFmtId="3" fontId="15" fillId="2" borderId="14" xfId="0" applyNumberFormat="1" applyFont="1" applyFill="1" applyBorder="1" applyAlignment="1">
      <alignment horizontal="right" vertical="center" wrapText="1"/>
    </xf>
    <xf numFmtId="3" fontId="16" fillId="2" borderId="14" xfId="0" applyNumberFormat="1" applyFont="1" applyFill="1" applyBorder="1" applyAlignment="1">
      <alignment horizontal="right" vertical="center" wrapText="1"/>
    </xf>
    <xf numFmtId="3" fontId="15" fillId="2" borderId="14" xfId="0" applyNumberFormat="1" applyFont="1" applyFill="1" applyBorder="1" applyAlignment="1">
      <alignment vertical="center"/>
    </xf>
    <xf numFmtId="3" fontId="15" fillId="2" borderId="30" xfId="0" applyNumberFormat="1" applyFont="1" applyFill="1" applyBorder="1" applyAlignment="1">
      <alignment vertical="center"/>
    </xf>
    <xf numFmtId="0" fontId="15" fillId="2" borderId="14" xfId="0" applyFont="1" applyFill="1" applyBorder="1" applyAlignment="1">
      <alignment horizontal="center" vertical="center"/>
    </xf>
    <xf numFmtId="49" fontId="15" fillId="2" borderId="30" xfId="0" applyNumberFormat="1" applyFont="1" applyFill="1" applyBorder="1" applyAlignment="1">
      <alignment horizontal="center" vertical="center"/>
    </xf>
    <xf numFmtId="49" fontId="15" fillId="2" borderId="13" xfId="0" applyNumberFormat="1" applyFont="1" applyFill="1" applyBorder="1" applyAlignment="1">
      <alignment horizontal="center" vertical="center"/>
    </xf>
    <xf numFmtId="0" fontId="15" fillId="2" borderId="13" xfId="1" applyFont="1" applyFill="1" applyBorder="1" applyAlignment="1">
      <alignment horizontal="center" vertical="center" wrapText="1"/>
    </xf>
    <xf numFmtId="3" fontId="13" fillId="2" borderId="14" xfId="0" applyNumberFormat="1" applyFont="1" applyFill="1" applyBorder="1" applyAlignment="1">
      <alignment horizontal="right" vertical="center"/>
    </xf>
    <xf numFmtId="3" fontId="11" fillId="2" borderId="30" xfId="0" applyNumberFormat="1" applyFont="1" applyFill="1" applyBorder="1" applyAlignment="1">
      <alignment horizontal="right" vertical="center"/>
    </xf>
    <xf numFmtId="3" fontId="11" fillId="2" borderId="68" xfId="0" applyNumberFormat="1" applyFont="1" applyFill="1" applyBorder="1" applyAlignment="1">
      <alignment horizontal="right" vertical="center"/>
    </xf>
    <xf numFmtId="3" fontId="11" fillId="2" borderId="52" xfId="0" applyNumberFormat="1" applyFont="1" applyFill="1" applyBorder="1" applyAlignment="1">
      <alignment horizontal="right" vertical="center"/>
    </xf>
    <xf numFmtId="3" fontId="11" fillId="2" borderId="74" xfId="0" applyNumberFormat="1" applyFont="1" applyFill="1" applyBorder="1" applyAlignment="1">
      <alignment horizontal="right" vertical="center" wrapText="1"/>
    </xf>
    <xf numFmtId="0" fontId="11" fillId="2" borderId="30" xfId="0" applyFont="1" applyFill="1" applyBorder="1" applyAlignment="1">
      <alignment horizontal="center" vertical="center"/>
    </xf>
    <xf numFmtId="3" fontId="11" fillId="2" borderId="51" xfId="0" applyNumberFormat="1" applyFont="1" applyFill="1" applyBorder="1" applyAlignment="1">
      <alignment horizontal="right" vertical="center" wrapText="1"/>
    </xf>
    <xf numFmtId="0" fontId="11" fillId="2" borderId="25" xfId="0" applyFont="1" applyFill="1" applyBorder="1" applyAlignment="1">
      <alignment horizontal="center" vertical="center"/>
    </xf>
    <xf numFmtId="0" fontId="14" fillId="2" borderId="37" xfId="0" applyFont="1" applyFill="1" applyBorder="1" applyAlignment="1">
      <alignment horizontal="center" vertical="center" wrapText="1"/>
    </xf>
    <xf numFmtId="3" fontId="13" fillId="2" borderId="26" xfId="0" applyNumberFormat="1" applyFont="1" applyFill="1" applyBorder="1" applyAlignment="1">
      <alignment horizontal="right" vertical="center"/>
    </xf>
    <xf numFmtId="3" fontId="11" fillId="2" borderId="31" xfId="0" applyNumberFormat="1" applyFont="1" applyFill="1" applyBorder="1" applyAlignment="1">
      <alignment horizontal="right" vertical="center"/>
    </xf>
    <xf numFmtId="3" fontId="11" fillId="2" borderId="47" xfId="0" applyNumberFormat="1" applyFont="1" applyFill="1" applyBorder="1" applyAlignment="1">
      <alignment horizontal="right" vertical="center"/>
    </xf>
    <xf numFmtId="3" fontId="11" fillId="2" borderId="41" xfId="0" applyNumberFormat="1" applyFont="1" applyFill="1" applyBorder="1" applyAlignment="1">
      <alignment horizontal="right" vertical="center"/>
    </xf>
    <xf numFmtId="3" fontId="11" fillId="2" borderId="42" xfId="0" applyNumberFormat="1" applyFont="1" applyFill="1" applyBorder="1" applyAlignment="1">
      <alignment horizontal="right" vertical="center" wrapText="1"/>
    </xf>
    <xf numFmtId="49" fontId="11" fillId="2" borderId="31" xfId="0" applyNumberFormat="1" applyFont="1" applyFill="1" applyBorder="1" applyAlignment="1">
      <alignment horizontal="center" vertical="center"/>
    </xf>
    <xf numFmtId="0" fontId="11" fillId="2" borderId="31" xfId="0" applyFont="1" applyFill="1" applyBorder="1" applyAlignment="1">
      <alignment horizontal="center" vertical="center"/>
    </xf>
    <xf numFmtId="49" fontId="16" fillId="8" borderId="2" xfId="0" applyNumberFormat="1" applyFont="1" applyFill="1" applyBorder="1" applyAlignment="1">
      <alignment horizontal="center" vertical="center" wrapText="1"/>
    </xf>
    <xf numFmtId="3" fontId="16" fillId="3" borderId="24" xfId="0" applyNumberFormat="1" applyFont="1" applyFill="1" applyBorder="1" applyAlignment="1">
      <alignment horizontal="right" vertical="center" wrapText="1"/>
    </xf>
    <xf numFmtId="3" fontId="13" fillId="2" borderId="16" xfId="0" applyNumberFormat="1" applyFont="1" applyFill="1" applyBorder="1" applyAlignment="1">
      <alignment horizontal="right" vertical="center" wrapText="1"/>
    </xf>
    <xf numFmtId="3" fontId="11" fillId="2" borderId="68" xfId="0" applyNumberFormat="1" applyFont="1" applyFill="1" applyBorder="1" applyAlignment="1">
      <alignment vertical="center"/>
    </xf>
    <xf numFmtId="3" fontId="11" fillId="2" borderId="69" xfId="0" applyNumberFormat="1" applyFont="1" applyFill="1" applyBorder="1" applyAlignment="1">
      <alignment vertical="center"/>
    </xf>
    <xf numFmtId="3" fontId="11" fillId="2" borderId="1" xfId="0" applyNumberFormat="1" applyFont="1" applyFill="1" applyBorder="1" applyAlignment="1">
      <alignment vertical="center"/>
    </xf>
    <xf numFmtId="0" fontId="14" fillId="2" borderId="15" xfId="0" applyFont="1" applyFill="1" applyBorder="1" applyAlignment="1">
      <alignment horizontal="center" vertical="center" wrapText="1"/>
    </xf>
    <xf numFmtId="3" fontId="13" fillId="2" borderId="13" xfId="0" applyNumberFormat="1" applyFont="1" applyFill="1" applyBorder="1" applyAlignment="1">
      <alignment horizontal="right" vertical="center"/>
    </xf>
    <xf numFmtId="3" fontId="11" fillId="2" borderId="15" xfId="0" applyNumberFormat="1" applyFont="1" applyFill="1" applyBorder="1" applyAlignment="1">
      <alignment horizontal="right" vertical="center"/>
    </xf>
    <xf numFmtId="3" fontId="11" fillId="2" borderId="60" xfId="0" applyNumberFormat="1" applyFont="1" applyFill="1" applyBorder="1" applyAlignment="1">
      <alignment horizontal="right" vertical="center"/>
    </xf>
    <xf numFmtId="3" fontId="11" fillId="2" borderId="17" xfId="0" applyNumberFormat="1" applyFont="1" applyFill="1" applyBorder="1" applyAlignment="1">
      <alignment horizontal="right" vertical="center"/>
    </xf>
    <xf numFmtId="3" fontId="11" fillId="2" borderId="54" xfId="0" applyNumberFormat="1" applyFont="1" applyFill="1" applyBorder="1" applyAlignment="1">
      <alignment horizontal="right" vertical="center" wrapText="1"/>
    </xf>
    <xf numFmtId="3" fontId="11" fillId="2" borderId="61" xfId="0" applyNumberFormat="1" applyFont="1" applyFill="1" applyBorder="1" applyAlignment="1">
      <alignment horizontal="right" vertical="center" wrapText="1"/>
    </xf>
    <xf numFmtId="3" fontId="11" fillId="2" borderId="60" xfId="0" applyNumberFormat="1" applyFont="1" applyFill="1" applyBorder="1" applyAlignment="1">
      <alignment horizontal="right" vertical="center" wrapText="1"/>
    </xf>
    <xf numFmtId="3" fontId="11" fillId="2" borderId="45" xfId="0" applyNumberFormat="1" applyFont="1" applyFill="1" applyBorder="1" applyAlignment="1">
      <alignment horizontal="right" vertical="center" wrapText="1"/>
    </xf>
    <xf numFmtId="3" fontId="11" fillId="2" borderId="13" xfId="0" applyNumberFormat="1" applyFont="1" applyFill="1" applyBorder="1" applyAlignment="1">
      <alignment horizontal="right" vertical="center" wrapText="1"/>
    </xf>
    <xf numFmtId="3" fontId="13" fillId="2" borderId="45" xfId="0" applyNumberFormat="1" applyFont="1" applyFill="1" applyBorder="1" applyAlignment="1">
      <alignment horizontal="right" vertical="center" wrapText="1"/>
    </xf>
    <xf numFmtId="49" fontId="11" fillId="2" borderId="15" xfId="0" applyNumberFormat="1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3" fontId="13" fillId="2" borderId="24" xfId="0" applyNumberFormat="1" applyFont="1" applyFill="1" applyBorder="1" applyAlignment="1">
      <alignment horizontal="right" vertical="center"/>
    </xf>
    <xf numFmtId="3" fontId="11" fillId="2" borderId="36" xfId="0" applyNumberFormat="1" applyFont="1" applyFill="1" applyBorder="1" applyAlignment="1">
      <alignment horizontal="right" vertical="center"/>
    </xf>
    <xf numFmtId="3" fontId="11" fillId="2" borderId="32" xfId="0" applyNumberFormat="1" applyFont="1" applyFill="1" applyBorder="1" applyAlignment="1">
      <alignment vertical="center"/>
    </xf>
    <xf numFmtId="3" fontId="11" fillId="2" borderId="47" xfId="0" applyNumberFormat="1" applyFont="1" applyFill="1" applyBorder="1" applyAlignment="1">
      <alignment vertical="center"/>
    </xf>
    <xf numFmtId="3" fontId="11" fillId="2" borderId="37" xfId="0" applyNumberFormat="1" applyFont="1" applyFill="1" applyBorder="1" applyAlignment="1">
      <alignment horizontal="right" vertical="center"/>
    </xf>
    <xf numFmtId="49" fontId="21" fillId="8" borderId="23" xfId="0" applyNumberFormat="1" applyFont="1" applyFill="1" applyBorder="1" applyAlignment="1">
      <alignment horizontal="center" vertical="center" wrapText="1"/>
    </xf>
    <xf numFmtId="49" fontId="16" fillId="8" borderId="23" xfId="0" applyNumberFormat="1" applyFont="1" applyFill="1" applyBorder="1" applyAlignment="1">
      <alignment horizontal="center" vertical="center" wrapText="1"/>
    </xf>
    <xf numFmtId="49" fontId="16" fillId="0" borderId="23" xfId="0" applyNumberFormat="1" applyFont="1" applyBorder="1" applyAlignment="1">
      <alignment horizontal="center" vertical="center" wrapText="1"/>
    </xf>
    <xf numFmtId="0" fontId="14" fillId="2" borderId="31" xfId="0" applyFont="1" applyFill="1" applyBorder="1" applyAlignment="1">
      <alignment horizontal="center" vertical="center" wrapText="1"/>
    </xf>
    <xf numFmtId="3" fontId="13" fillId="2" borderId="32" xfId="0" applyNumberFormat="1" applyFont="1" applyFill="1" applyBorder="1" applyAlignment="1">
      <alignment horizontal="right" vertical="center"/>
    </xf>
    <xf numFmtId="49" fontId="13" fillId="8" borderId="13" xfId="0" applyNumberFormat="1" applyFont="1" applyFill="1" applyBorder="1" applyAlignment="1">
      <alignment horizontal="center" vertical="center" wrapText="1"/>
    </xf>
    <xf numFmtId="0" fontId="14" fillId="2" borderId="25" xfId="0" applyFont="1" applyFill="1" applyBorder="1" applyAlignment="1">
      <alignment horizontal="center" vertical="center" wrapText="1"/>
    </xf>
    <xf numFmtId="3" fontId="11" fillId="2" borderId="23" xfId="0" applyNumberFormat="1" applyFont="1" applyFill="1" applyBorder="1" applyAlignment="1">
      <alignment horizontal="right" vertical="center"/>
    </xf>
    <xf numFmtId="3" fontId="11" fillId="2" borderId="24" xfId="0" applyNumberFormat="1" applyFont="1" applyFill="1" applyBorder="1" applyAlignment="1">
      <alignment horizontal="right" vertical="center"/>
    </xf>
    <xf numFmtId="3" fontId="11" fillId="2" borderId="44" xfId="0" applyNumberFormat="1" applyFont="1" applyFill="1" applyBorder="1" applyAlignment="1">
      <alignment horizontal="right" vertical="center"/>
    </xf>
    <xf numFmtId="3" fontId="11" fillId="2" borderId="27" xfId="0" applyNumberFormat="1" applyFont="1" applyFill="1" applyBorder="1" applyAlignment="1">
      <alignment horizontal="right" vertical="center"/>
    </xf>
    <xf numFmtId="49" fontId="21" fillId="0" borderId="13" xfId="0" applyNumberFormat="1" applyFont="1" applyBorder="1" applyAlignment="1">
      <alignment horizontal="center" vertical="center" wrapText="1"/>
    </xf>
    <xf numFmtId="3" fontId="21" fillId="3" borderId="13" xfId="0" applyNumberFormat="1" applyFont="1" applyFill="1" applyBorder="1" applyAlignment="1">
      <alignment horizontal="right" vertical="center" wrapText="1"/>
    </xf>
    <xf numFmtId="49" fontId="16" fillId="2" borderId="23" xfId="0" applyNumberFormat="1" applyFont="1" applyFill="1" applyBorder="1" applyAlignment="1">
      <alignment horizontal="center" vertical="center" wrapText="1"/>
    </xf>
    <xf numFmtId="0" fontId="47" fillId="2" borderId="25" xfId="0" applyFont="1" applyFill="1" applyBorder="1" applyAlignment="1">
      <alignment horizontal="center" vertical="center" wrapText="1"/>
    </xf>
    <xf numFmtId="3" fontId="16" fillId="2" borderId="23" xfId="0" applyNumberFormat="1" applyFont="1" applyFill="1" applyBorder="1" applyAlignment="1">
      <alignment horizontal="right" vertical="center"/>
    </xf>
    <xf numFmtId="3" fontId="15" fillId="2" borderId="23" xfId="0" applyNumberFormat="1" applyFont="1" applyFill="1" applyBorder="1" applyAlignment="1">
      <alignment horizontal="right" vertical="center"/>
    </xf>
    <xf numFmtId="3" fontId="15" fillId="2" borderId="58" xfId="0" applyNumberFormat="1" applyFont="1" applyFill="1" applyBorder="1" applyAlignment="1">
      <alignment horizontal="right" vertical="center"/>
    </xf>
    <xf numFmtId="3" fontId="15" fillId="2" borderId="24" xfId="0" applyNumberFormat="1" applyFont="1" applyFill="1" applyBorder="1" applyAlignment="1">
      <alignment horizontal="right" vertical="center"/>
    </xf>
    <xf numFmtId="3" fontId="15" fillId="2" borderId="44" xfId="0" applyNumberFormat="1" applyFont="1" applyFill="1" applyBorder="1" applyAlignment="1">
      <alignment horizontal="right" vertical="center"/>
    </xf>
    <xf numFmtId="3" fontId="15" fillId="2" borderId="27" xfId="0" applyNumberFormat="1" applyFont="1" applyFill="1" applyBorder="1" applyAlignment="1">
      <alignment horizontal="right" vertical="center"/>
    </xf>
    <xf numFmtId="3" fontId="15" fillId="2" borderId="23" xfId="0" applyNumberFormat="1" applyFont="1" applyFill="1" applyBorder="1" applyAlignment="1">
      <alignment horizontal="right" vertical="center" wrapText="1"/>
    </xf>
    <xf numFmtId="3" fontId="16" fillId="2" borderId="23" xfId="0" applyNumberFormat="1" applyFont="1" applyFill="1" applyBorder="1" applyAlignment="1">
      <alignment horizontal="right" vertical="center" wrapText="1"/>
    </xf>
    <xf numFmtId="3" fontId="15" fillId="2" borderId="23" xfId="0" applyNumberFormat="1" applyFont="1" applyFill="1" applyBorder="1" applyAlignment="1">
      <alignment vertical="center"/>
    </xf>
    <xf numFmtId="3" fontId="15" fillId="2" borderId="24" xfId="0" applyNumberFormat="1" applyFont="1" applyFill="1" applyBorder="1" applyAlignment="1">
      <alignment vertical="center"/>
    </xf>
    <xf numFmtId="0" fontId="15" fillId="2" borderId="23" xfId="0" applyFont="1" applyFill="1" applyBorder="1" applyAlignment="1">
      <alignment horizontal="center" vertical="center"/>
    </xf>
    <xf numFmtId="49" fontId="15" fillId="2" borderId="25" xfId="0" applyNumberFormat="1" applyFont="1" applyFill="1" applyBorder="1" applyAlignment="1">
      <alignment horizontal="center" vertical="center"/>
    </xf>
    <xf numFmtId="0" fontId="15" fillId="2" borderId="25" xfId="0" applyFont="1" applyFill="1" applyBorder="1" applyAlignment="1">
      <alignment horizontal="center" vertical="center"/>
    </xf>
    <xf numFmtId="49" fontId="16" fillId="0" borderId="26" xfId="0" applyNumberFormat="1" applyFont="1" applyBorder="1" applyAlignment="1">
      <alignment horizontal="center" vertical="center" wrapText="1"/>
    </xf>
    <xf numFmtId="3" fontId="16" fillId="3" borderId="26" xfId="0" applyNumberFormat="1" applyFont="1" applyFill="1" applyBorder="1" applyAlignment="1">
      <alignment horizontal="right" vertical="center" wrapText="1"/>
    </xf>
    <xf numFmtId="3" fontId="11" fillId="2" borderId="46" xfId="0" applyNumberFormat="1" applyFont="1" applyFill="1" applyBorder="1" applyAlignment="1">
      <alignment horizontal="right" vertical="center"/>
    </xf>
    <xf numFmtId="0" fontId="14" fillId="2" borderId="19" xfId="0" applyFont="1" applyFill="1" applyBorder="1" applyAlignment="1">
      <alignment horizontal="center" vertical="center" wrapText="1"/>
    </xf>
    <xf numFmtId="3" fontId="13" fillId="2" borderId="45" xfId="0" applyNumberFormat="1" applyFont="1" applyFill="1" applyBorder="1" applyAlignment="1">
      <alignment horizontal="right" vertical="center"/>
    </xf>
    <xf numFmtId="3" fontId="11" fillId="2" borderId="13" xfId="0" applyNumberFormat="1" applyFont="1" applyFill="1" applyBorder="1" applyAlignment="1">
      <alignment horizontal="right" vertical="center"/>
    </xf>
    <xf numFmtId="3" fontId="11" fillId="2" borderId="45" xfId="0" applyNumberFormat="1" applyFont="1" applyFill="1" applyBorder="1" applyAlignment="1">
      <alignment horizontal="right" vertical="center"/>
    </xf>
    <xf numFmtId="3" fontId="11" fillId="2" borderId="54" xfId="0" applyNumberFormat="1" applyFont="1" applyFill="1" applyBorder="1" applyAlignment="1">
      <alignment horizontal="right" vertical="center"/>
    </xf>
    <xf numFmtId="3" fontId="11" fillId="2" borderId="19" xfId="0" applyNumberFormat="1" applyFont="1" applyFill="1" applyBorder="1" applyAlignment="1">
      <alignment horizontal="right" vertical="center"/>
    </xf>
    <xf numFmtId="3" fontId="11" fillId="2" borderId="45" xfId="0" applyNumberFormat="1" applyFont="1" applyFill="1" applyBorder="1" applyAlignment="1">
      <alignment vertical="center"/>
    </xf>
    <xf numFmtId="0" fontId="11" fillId="2" borderId="13" xfId="0" applyFont="1" applyFill="1" applyBorder="1" applyAlignment="1">
      <alignment horizontal="center" wrapText="1"/>
    </xf>
    <xf numFmtId="49" fontId="13" fillId="4" borderId="23" xfId="0" applyNumberFormat="1" applyFont="1" applyFill="1" applyBorder="1" applyAlignment="1">
      <alignment horizontal="center" vertical="center" wrapText="1"/>
    </xf>
    <xf numFmtId="0" fontId="14" fillId="4" borderId="23" xfId="0" applyFont="1" applyFill="1" applyBorder="1" applyAlignment="1">
      <alignment horizontal="center" vertical="center" wrapText="1"/>
    </xf>
    <xf numFmtId="3" fontId="13" fillId="4" borderId="23" xfId="0" applyNumberFormat="1" applyFont="1" applyFill="1" applyBorder="1" applyAlignment="1">
      <alignment horizontal="right" vertical="center"/>
    </xf>
    <xf numFmtId="3" fontId="11" fillId="4" borderId="23" xfId="0" applyNumberFormat="1" applyFont="1" applyFill="1" applyBorder="1" applyAlignment="1">
      <alignment horizontal="right" vertical="center"/>
    </xf>
    <xf numFmtId="3" fontId="11" fillId="4" borderId="23" xfId="0" applyNumberFormat="1" applyFont="1" applyFill="1" applyBorder="1" applyAlignment="1">
      <alignment horizontal="right" vertical="center" wrapText="1"/>
    </xf>
    <xf numFmtId="3" fontId="13" fillId="4" borderId="23" xfId="0" applyNumberFormat="1" applyFont="1" applyFill="1" applyBorder="1" applyAlignment="1">
      <alignment horizontal="right" vertical="center" wrapText="1"/>
    </xf>
    <xf numFmtId="3" fontId="11" fillId="4" borderId="23" xfId="0" applyNumberFormat="1" applyFont="1" applyFill="1" applyBorder="1" applyAlignment="1">
      <alignment vertical="center"/>
    </xf>
    <xf numFmtId="3" fontId="11" fillId="4" borderId="58" xfId="0" applyNumberFormat="1" applyFont="1" applyFill="1" applyBorder="1" applyAlignment="1">
      <alignment horizontal="right" vertical="center"/>
    </xf>
    <xf numFmtId="3" fontId="11" fillId="4" borderId="21" xfId="0" applyNumberFormat="1" applyFont="1" applyFill="1" applyBorder="1" applyAlignment="1">
      <alignment horizontal="right" vertical="center"/>
    </xf>
    <xf numFmtId="3" fontId="11" fillId="4" borderId="24" xfId="0" applyNumberFormat="1" applyFont="1" applyFill="1" applyBorder="1" applyAlignment="1">
      <alignment horizontal="right" vertical="center"/>
    </xf>
    <xf numFmtId="49" fontId="13" fillId="4" borderId="26" xfId="0" applyNumberFormat="1" applyFont="1" applyFill="1" applyBorder="1" applyAlignment="1">
      <alignment horizontal="center" vertical="center" wrapText="1"/>
    </xf>
    <xf numFmtId="3" fontId="13" fillId="4" borderId="26" xfId="0" applyNumberFormat="1" applyFont="1" applyFill="1" applyBorder="1" applyAlignment="1">
      <alignment horizontal="right" vertical="center"/>
    </xf>
    <xf numFmtId="3" fontId="11" fillId="4" borderId="26" xfId="0" applyNumberFormat="1" applyFont="1" applyFill="1" applyBorder="1" applyAlignment="1">
      <alignment horizontal="right" vertical="center"/>
    </xf>
    <xf numFmtId="3" fontId="11" fillId="4" borderId="26" xfId="0" applyNumberFormat="1" applyFont="1" applyFill="1" applyBorder="1" applyAlignment="1">
      <alignment horizontal="right" vertical="center" wrapText="1"/>
    </xf>
    <xf numFmtId="3" fontId="13" fillId="4" borderId="26" xfId="0" applyNumberFormat="1" applyFont="1" applyFill="1" applyBorder="1" applyAlignment="1">
      <alignment horizontal="right" vertical="center" wrapText="1"/>
    </xf>
    <xf numFmtId="49" fontId="11" fillId="4" borderId="26" xfId="0" applyNumberFormat="1" applyFont="1" applyFill="1" applyBorder="1" applyAlignment="1">
      <alignment horizontal="center" vertical="center"/>
    </xf>
    <xf numFmtId="3" fontId="11" fillId="4" borderId="47" xfId="0" applyNumberFormat="1" applyFont="1" applyFill="1" applyBorder="1" applyAlignment="1">
      <alignment horizontal="right" vertical="center"/>
    </xf>
    <xf numFmtId="3" fontId="11" fillId="4" borderId="20" xfId="0" applyNumberFormat="1" applyFont="1" applyFill="1" applyBorder="1" applyAlignment="1">
      <alignment horizontal="right" vertical="center"/>
    </xf>
    <xf numFmtId="3" fontId="11" fillId="4" borderId="32" xfId="0" applyNumberFormat="1" applyFont="1" applyFill="1" applyBorder="1" applyAlignment="1">
      <alignment horizontal="right" vertical="center"/>
    </xf>
    <xf numFmtId="3" fontId="11" fillId="2" borderId="72" xfId="0" applyNumberFormat="1" applyFont="1" applyFill="1" applyBorder="1" applyAlignment="1">
      <alignment horizontal="right" vertical="center"/>
    </xf>
    <xf numFmtId="3" fontId="11" fillId="2" borderId="16" xfId="0" applyNumberFormat="1" applyFont="1" applyFill="1" applyBorder="1" applyAlignment="1">
      <alignment horizontal="right" vertical="center"/>
    </xf>
    <xf numFmtId="3" fontId="11" fillId="2" borderId="58" xfId="0" applyNumberFormat="1" applyFont="1" applyFill="1" applyBorder="1" applyAlignment="1">
      <alignment vertical="center"/>
    </xf>
    <xf numFmtId="3" fontId="11" fillId="2" borderId="21" xfId="0" applyNumberFormat="1" applyFont="1" applyFill="1" applyBorder="1" applyAlignment="1">
      <alignment vertical="center"/>
    </xf>
    <xf numFmtId="3" fontId="11" fillId="2" borderId="27" xfId="0" applyNumberFormat="1" applyFont="1" applyFill="1" applyBorder="1" applyAlignment="1">
      <alignment vertical="center"/>
    </xf>
    <xf numFmtId="3" fontId="11" fillId="2" borderId="21" xfId="0" applyNumberFormat="1" applyFont="1" applyFill="1" applyBorder="1" applyAlignment="1">
      <alignment horizontal="right" vertical="center"/>
    </xf>
    <xf numFmtId="3" fontId="15" fillId="2" borderId="68" xfId="0" applyNumberFormat="1" applyFont="1" applyFill="1" applyBorder="1" applyAlignment="1">
      <alignment vertical="center"/>
    </xf>
    <xf numFmtId="3" fontId="15" fillId="2" borderId="69" xfId="0" applyNumberFormat="1" applyFont="1" applyFill="1" applyBorder="1" applyAlignment="1">
      <alignment vertical="center"/>
    </xf>
    <xf numFmtId="3" fontId="15" fillId="2" borderId="1" xfId="0" applyNumberFormat="1" applyFont="1" applyFill="1" applyBorder="1" applyAlignment="1">
      <alignment vertical="center"/>
    </xf>
    <xf numFmtId="3" fontId="15" fillId="2" borderId="72" xfId="0" applyNumberFormat="1" applyFont="1" applyFill="1" applyBorder="1" applyAlignment="1">
      <alignment horizontal="right" vertical="center"/>
    </xf>
    <xf numFmtId="3" fontId="11" fillId="2" borderId="69" xfId="0" applyNumberFormat="1" applyFont="1" applyFill="1" applyBorder="1" applyAlignment="1">
      <alignment horizontal="right" vertical="center"/>
    </xf>
    <xf numFmtId="3" fontId="11" fillId="2" borderId="60" xfId="0" applyNumberFormat="1" applyFont="1" applyFill="1" applyBorder="1" applyAlignment="1">
      <alignment vertical="center"/>
    </xf>
    <xf numFmtId="3" fontId="15" fillId="2" borderId="58" xfId="0" applyNumberFormat="1" applyFont="1" applyFill="1" applyBorder="1" applyAlignment="1">
      <alignment vertical="center"/>
    </xf>
    <xf numFmtId="3" fontId="15" fillId="2" borderId="21" xfId="0" applyNumberFormat="1" applyFont="1" applyFill="1" applyBorder="1" applyAlignment="1">
      <alignment vertical="center"/>
    </xf>
    <xf numFmtId="3" fontId="11" fillId="2" borderId="48" xfId="0" applyNumberFormat="1" applyFont="1" applyFill="1" applyBorder="1" applyAlignment="1">
      <alignment horizontal="right" vertical="center"/>
    </xf>
    <xf numFmtId="3" fontId="11" fillId="4" borderId="32" xfId="0" applyNumberFormat="1" applyFont="1" applyFill="1" applyBorder="1" applyAlignment="1">
      <alignment vertical="center"/>
    </xf>
    <xf numFmtId="3" fontId="11" fillId="4" borderId="62" xfId="0" applyNumberFormat="1" applyFont="1" applyFill="1" applyBorder="1" applyAlignment="1">
      <alignment vertical="center"/>
    </xf>
    <xf numFmtId="3" fontId="11" fillId="4" borderId="47" xfId="0" applyNumberFormat="1" applyFont="1" applyFill="1" applyBorder="1" applyAlignment="1">
      <alignment vertical="center"/>
    </xf>
    <xf numFmtId="3" fontId="11" fillId="4" borderId="63" xfId="0" applyNumberFormat="1" applyFont="1" applyFill="1" applyBorder="1" applyAlignment="1">
      <alignment vertical="center"/>
    </xf>
    <xf numFmtId="3" fontId="11" fillId="2" borderId="51" xfId="0" applyNumberFormat="1" applyFont="1" applyFill="1" applyBorder="1" applyAlignment="1">
      <alignment horizontal="right" vertical="center"/>
    </xf>
    <xf numFmtId="3" fontId="11" fillId="2" borderId="39" xfId="0" applyNumberFormat="1" applyFont="1" applyFill="1" applyBorder="1" applyAlignment="1">
      <alignment horizontal="right" vertical="center" wrapText="1"/>
    </xf>
    <xf numFmtId="49" fontId="11" fillId="2" borderId="48" xfId="0" applyNumberFormat="1" applyFont="1" applyFill="1" applyBorder="1" applyAlignment="1">
      <alignment horizontal="center" vertical="center" wrapText="1"/>
    </xf>
    <xf numFmtId="3" fontId="11" fillId="2" borderId="57" xfId="0" applyNumberFormat="1" applyFont="1" applyFill="1" applyBorder="1" applyAlignment="1">
      <alignment vertical="center" wrapText="1"/>
    </xf>
    <xf numFmtId="3" fontId="11" fillId="2" borderId="12" xfId="0" applyNumberFormat="1" applyFont="1" applyFill="1" applyBorder="1" applyAlignment="1">
      <alignment vertical="center" wrapText="1"/>
    </xf>
    <xf numFmtId="49" fontId="13" fillId="2" borderId="30" xfId="0" applyNumberFormat="1" applyFont="1" applyFill="1" applyBorder="1" applyAlignment="1">
      <alignment horizontal="center" vertical="center" wrapText="1" shrinkToFit="1"/>
    </xf>
    <xf numFmtId="49" fontId="11" fillId="2" borderId="30" xfId="0" applyNumberFormat="1" applyFont="1" applyFill="1" applyBorder="1" applyAlignment="1">
      <alignment horizontal="center" vertical="center" wrapText="1"/>
    </xf>
    <xf numFmtId="49" fontId="13" fillId="2" borderId="12" xfId="0" applyNumberFormat="1" applyFont="1" applyFill="1" applyBorder="1" applyAlignment="1">
      <alignment horizontal="center" vertical="center" wrapText="1" shrinkToFit="1"/>
    </xf>
    <xf numFmtId="0" fontId="14" fillId="2" borderId="30" xfId="1" applyFont="1" applyFill="1" applyBorder="1" applyAlignment="1">
      <alignment horizontal="center" vertical="center" wrapText="1"/>
    </xf>
    <xf numFmtId="0" fontId="18" fillId="0" borderId="39" xfId="0" applyFont="1" applyBorder="1" applyAlignment="1">
      <alignment horizontal="center" vertical="center" wrapText="1"/>
    </xf>
    <xf numFmtId="3" fontId="13" fillId="2" borderId="56" xfId="0" applyNumberFormat="1" applyFont="1" applyFill="1" applyBorder="1" applyAlignment="1">
      <alignment horizontal="right" vertical="center" wrapText="1"/>
    </xf>
    <xf numFmtId="3" fontId="11" fillId="2" borderId="6" xfId="0" applyNumberFormat="1" applyFont="1" applyFill="1" applyBorder="1" applyAlignment="1">
      <alignment vertical="center"/>
    </xf>
    <xf numFmtId="3" fontId="11" fillId="2" borderId="55" xfId="0" applyNumberFormat="1" applyFont="1" applyFill="1" applyBorder="1" applyAlignment="1">
      <alignment horizontal="right" vertical="center"/>
    </xf>
    <xf numFmtId="3" fontId="11" fillId="2" borderId="38" xfId="0" applyNumberFormat="1" applyFont="1" applyFill="1" applyBorder="1" applyAlignment="1">
      <alignment horizontal="right" vertical="center"/>
    </xf>
    <xf numFmtId="3" fontId="11" fillId="2" borderId="56" xfId="0" applyNumberFormat="1" applyFont="1" applyFill="1" applyBorder="1" applyAlignment="1">
      <alignment horizontal="right" vertical="center"/>
    </xf>
    <xf numFmtId="3" fontId="11" fillId="2" borderId="6" xfId="0" applyNumberFormat="1" applyFont="1" applyFill="1" applyBorder="1" applyAlignment="1">
      <alignment horizontal="right" vertical="center"/>
    </xf>
    <xf numFmtId="49" fontId="11" fillId="2" borderId="12" xfId="0" applyNumberFormat="1" applyFont="1" applyFill="1" applyBorder="1" applyAlignment="1">
      <alignment horizontal="center" vertical="center" wrapText="1"/>
    </xf>
    <xf numFmtId="3" fontId="13" fillId="2" borderId="18" xfId="0" applyNumberFormat="1" applyFont="1" applyFill="1" applyBorder="1" applyAlignment="1">
      <alignment horizontal="right" vertical="center"/>
    </xf>
    <xf numFmtId="3" fontId="11" fillId="2" borderId="39" xfId="0" applyNumberFormat="1" applyFont="1" applyFill="1" applyBorder="1" applyAlignment="1">
      <alignment vertical="center" wrapText="1"/>
    </xf>
    <xf numFmtId="3" fontId="13" fillId="2" borderId="69" xfId="0" applyNumberFormat="1" applyFont="1" applyFill="1" applyBorder="1" applyAlignment="1">
      <alignment horizontal="right" vertical="center" wrapText="1"/>
    </xf>
    <xf numFmtId="3" fontId="11" fillId="2" borderId="16" xfId="0" applyNumberFormat="1" applyFont="1" applyFill="1" applyBorder="1" applyAlignment="1">
      <alignment vertical="center"/>
    </xf>
    <xf numFmtId="49" fontId="13" fillId="2" borderId="30" xfId="0" applyNumberFormat="1" applyFont="1" applyFill="1" applyBorder="1" applyAlignment="1">
      <alignment horizontal="center" vertical="center" wrapText="1"/>
    </xf>
    <xf numFmtId="3" fontId="11" fillId="2" borderId="57" xfId="0" applyNumberFormat="1" applyFont="1" applyFill="1" applyBorder="1" applyAlignment="1">
      <alignment horizontal="right" vertical="center" wrapText="1"/>
    </xf>
    <xf numFmtId="3" fontId="11" fillId="2" borderId="18" xfId="0" applyNumberFormat="1" applyFont="1" applyFill="1" applyBorder="1" applyAlignment="1">
      <alignment horizontal="right" vertical="center"/>
    </xf>
    <xf numFmtId="3" fontId="13" fillId="2" borderId="1" xfId="0" applyNumberFormat="1" applyFont="1" applyFill="1" applyBorder="1" applyAlignment="1">
      <alignment horizontal="right" vertical="center" wrapText="1"/>
    </xf>
    <xf numFmtId="3" fontId="11" fillId="2" borderId="14" xfId="0" applyNumberFormat="1" applyFont="1" applyFill="1" applyBorder="1" applyAlignment="1">
      <alignment horizontal="right" vertical="center"/>
    </xf>
    <xf numFmtId="3" fontId="11" fillId="2" borderId="1" xfId="0" applyNumberFormat="1" applyFont="1" applyFill="1" applyBorder="1" applyAlignment="1">
      <alignment horizontal="right" vertical="center"/>
    </xf>
    <xf numFmtId="49" fontId="13" fillId="2" borderId="31" xfId="0" applyNumberFormat="1" applyFont="1" applyFill="1" applyBorder="1" applyAlignment="1">
      <alignment horizontal="center" vertical="center" wrapText="1"/>
    </xf>
    <xf numFmtId="3" fontId="11" fillId="2" borderId="75" xfId="0" applyNumberFormat="1" applyFont="1" applyFill="1" applyBorder="1" applyAlignment="1">
      <alignment horizontal="right" vertical="center" wrapText="1"/>
    </xf>
    <xf numFmtId="3" fontId="18" fillId="2" borderId="2" xfId="0" applyNumberFormat="1" applyFont="1" applyFill="1" applyBorder="1" applyAlignment="1">
      <alignment horizontal="right" vertical="center" wrapText="1"/>
    </xf>
    <xf numFmtId="0" fontId="11" fillId="2" borderId="78" xfId="0" applyFont="1" applyFill="1" applyBorder="1" applyAlignment="1">
      <alignment horizontal="center" vertical="center" wrapText="1"/>
    </xf>
    <xf numFmtId="0" fontId="11" fillId="2" borderId="25" xfId="0" applyFont="1" applyFill="1" applyBorder="1" applyAlignment="1">
      <alignment horizontal="center" vertical="center" wrapText="1"/>
    </xf>
    <xf numFmtId="3" fontId="11" fillId="2" borderId="17" xfId="0" applyNumberFormat="1" applyFont="1" applyFill="1" applyBorder="1" applyAlignment="1">
      <alignment horizontal="right" vertical="center" wrapText="1"/>
    </xf>
    <xf numFmtId="3" fontId="11" fillId="2" borderId="19" xfId="0" applyNumberFormat="1" applyFont="1" applyFill="1" applyBorder="1" applyAlignment="1">
      <alignment horizontal="right" vertical="center" wrapText="1"/>
    </xf>
    <xf numFmtId="49" fontId="13" fillId="2" borderId="25" xfId="0" applyNumberFormat="1" applyFont="1" applyFill="1" applyBorder="1" applyAlignment="1">
      <alignment horizontal="center" vertical="center" wrapText="1"/>
    </xf>
    <xf numFmtId="3" fontId="13" fillId="2" borderId="25" xfId="0" applyNumberFormat="1" applyFont="1" applyFill="1" applyBorder="1" applyAlignment="1">
      <alignment horizontal="right" vertical="center" wrapText="1"/>
    </xf>
    <xf numFmtId="3" fontId="13" fillId="2" borderId="2" xfId="0" applyNumberFormat="1" applyFont="1" applyFill="1" applyBorder="1" applyAlignment="1">
      <alignment horizontal="right" vertical="center" wrapText="1"/>
    </xf>
    <xf numFmtId="3" fontId="11" fillId="2" borderId="31" xfId="0" applyNumberFormat="1" applyFont="1" applyFill="1" applyBorder="1" applyAlignment="1">
      <alignment horizontal="right" vertical="center" wrapText="1"/>
    </xf>
    <xf numFmtId="3" fontId="11" fillId="2" borderId="41" xfId="0" applyNumberFormat="1" applyFont="1" applyFill="1" applyBorder="1" applyAlignment="1">
      <alignment horizontal="right" vertical="center" wrapText="1"/>
    </xf>
    <xf numFmtId="3" fontId="11" fillId="2" borderId="37" xfId="0" applyNumberFormat="1" applyFont="1" applyFill="1" applyBorder="1" applyAlignment="1">
      <alignment horizontal="right" vertical="center" wrapText="1"/>
    </xf>
    <xf numFmtId="3" fontId="18" fillId="2" borderId="1" xfId="0" applyNumberFormat="1" applyFont="1" applyFill="1" applyBorder="1" applyAlignment="1">
      <alignment horizontal="right" vertical="center" wrapText="1"/>
    </xf>
    <xf numFmtId="3" fontId="13" fillId="2" borderId="19" xfId="0" applyNumberFormat="1" applyFont="1" applyFill="1" applyBorder="1" applyAlignment="1">
      <alignment horizontal="right" vertical="center" wrapText="1"/>
    </xf>
    <xf numFmtId="0" fontId="14" fillId="2" borderId="4" xfId="0" applyFont="1" applyFill="1" applyBorder="1" applyAlignment="1">
      <alignment horizontal="center" vertical="center" wrapText="1"/>
    </xf>
    <xf numFmtId="3" fontId="13" fillId="2" borderId="2" xfId="0" applyNumberFormat="1" applyFont="1" applyFill="1" applyBorder="1" applyAlignment="1">
      <alignment horizontal="right" vertical="center"/>
    </xf>
    <xf numFmtId="3" fontId="11" fillId="2" borderId="2" xfId="0" applyNumberFormat="1" applyFont="1" applyFill="1" applyBorder="1" applyAlignment="1">
      <alignment horizontal="right" vertical="center" wrapText="1"/>
    </xf>
    <xf numFmtId="3" fontId="11" fillId="2" borderId="62" xfId="0" applyNumberFormat="1" applyFont="1" applyFill="1" applyBorder="1" applyAlignment="1">
      <alignment horizontal="right" vertical="center" wrapText="1"/>
    </xf>
    <xf numFmtId="3" fontId="11" fillId="2" borderId="46" xfId="0" applyNumberFormat="1" applyFont="1" applyFill="1" applyBorder="1" applyAlignment="1">
      <alignment horizontal="right" vertical="center" wrapText="1"/>
    </xf>
    <xf numFmtId="3" fontId="11" fillId="2" borderId="8" xfId="0" applyNumberFormat="1" applyFont="1" applyFill="1" applyBorder="1" applyAlignment="1">
      <alignment horizontal="right" vertical="center" wrapText="1"/>
    </xf>
    <xf numFmtId="3" fontId="11" fillId="2" borderId="50" xfId="0" applyNumberFormat="1" applyFont="1" applyFill="1" applyBorder="1" applyAlignment="1">
      <alignment horizontal="right" vertical="center" wrapText="1"/>
    </xf>
    <xf numFmtId="3" fontId="11" fillId="2" borderId="2" xfId="0" applyNumberFormat="1" applyFont="1" applyFill="1" applyBorder="1" applyAlignment="1">
      <alignment horizontal="right" vertical="center"/>
    </xf>
    <xf numFmtId="3" fontId="13" fillId="2" borderId="27" xfId="0" applyNumberFormat="1" applyFont="1" applyFill="1" applyBorder="1" applyAlignment="1">
      <alignment horizontal="right" vertical="center" wrapText="1"/>
    </xf>
    <xf numFmtId="3" fontId="11" fillId="2" borderId="4" xfId="0" applyNumberFormat="1" applyFont="1" applyFill="1" applyBorder="1" applyAlignment="1">
      <alignment horizontal="right" vertical="center"/>
    </xf>
    <xf numFmtId="3" fontId="11" fillId="2" borderId="63" xfId="0" applyNumberFormat="1" applyFont="1" applyFill="1" applyBorder="1" applyAlignment="1">
      <alignment horizontal="right" vertical="center"/>
    </xf>
    <xf numFmtId="3" fontId="11" fillId="2" borderId="9" xfId="0" applyNumberFormat="1" applyFont="1" applyFill="1" applyBorder="1" applyAlignment="1">
      <alignment horizontal="right" vertical="center"/>
    </xf>
    <xf numFmtId="3" fontId="11" fillId="2" borderId="62" xfId="0" applyNumberFormat="1" applyFont="1" applyFill="1" applyBorder="1" applyAlignment="1">
      <alignment horizontal="right" vertical="center"/>
    </xf>
    <xf numFmtId="3" fontId="11" fillId="2" borderId="53" xfId="0" applyNumberFormat="1" applyFont="1" applyFill="1" applyBorder="1" applyAlignment="1">
      <alignment horizontal="right" vertical="center"/>
    </xf>
    <xf numFmtId="49" fontId="11" fillId="2" borderId="9" xfId="0" applyNumberFormat="1" applyFont="1" applyFill="1" applyBorder="1" applyAlignment="1">
      <alignment horizontal="center" vertical="center" wrapText="1"/>
    </xf>
    <xf numFmtId="0" fontId="14" fillId="2" borderId="13" xfId="0" applyFont="1" applyFill="1" applyBorder="1" applyAlignment="1">
      <alignment horizontal="center" vertical="center" wrapText="1"/>
    </xf>
    <xf numFmtId="3" fontId="11" fillId="2" borderId="15" xfId="0" applyNumberFormat="1" applyFont="1" applyFill="1" applyBorder="1" applyAlignment="1">
      <alignment horizontal="right" vertical="center" wrapText="1"/>
    </xf>
    <xf numFmtId="3" fontId="21" fillId="3" borderId="27" xfId="0" applyNumberFormat="1" applyFont="1" applyFill="1" applyBorder="1" applyAlignment="1">
      <alignment horizontal="right" vertical="center" wrapText="1"/>
    </xf>
    <xf numFmtId="3" fontId="11" fillId="2" borderId="21" xfId="0" applyNumberFormat="1" applyFont="1" applyFill="1" applyBorder="1" applyAlignment="1">
      <alignment horizontal="right" vertical="center" wrapText="1"/>
    </xf>
    <xf numFmtId="3" fontId="11" fillId="2" borderId="48" xfId="0" applyNumberFormat="1" applyFont="1" applyFill="1" applyBorder="1" applyAlignment="1">
      <alignment horizontal="right" vertical="center" wrapText="1"/>
    </xf>
    <xf numFmtId="3" fontId="11" fillId="2" borderId="20" xfId="0" applyNumberFormat="1" applyFont="1" applyFill="1" applyBorder="1" applyAlignment="1">
      <alignment horizontal="right" vertical="center" wrapText="1"/>
    </xf>
    <xf numFmtId="49" fontId="24" fillId="12" borderId="23" xfId="0" applyNumberFormat="1" applyFont="1" applyFill="1" applyBorder="1" applyAlignment="1">
      <alignment horizontal="center" vertical="center" wrapText="1"/>
    </xf>
    <xf numFmtId="0" fontId="32" fillId="12" borderId="25" xfId="0" applyFont="1" applyFill="1" applyBorder="1" applyAlignment="1">
      <alignment horizontal="center" vertical="center" wrapText="1"/>
    </xf>
    <xf numFmtId="0" fontId="22" fillId="12" borderId="24" xfId="0" applyFont="1" applyFill="1" applyBorder="1" applyAlignment="1">
      <alignment horizontal="center" vertical="center" wrapText="1"/>
    </xf>
    <xf numFmtId="3" fontId="24" fillId="12" borderId="23" xfId="0" applyNumberFormat="1" applyFont="1" applyFill="1" applyBorder="1" applyAlignment="1">
      <alignment horizontal="right" vertical="center" wrapText="1"/>
    </xf>
    <xf numFmtId="3" fontId="22" fillId="12" borderId="25" xfId="0" applyNumberFormat="1" applyFont="1" applyFill="1" applyBorder="1" applyAlignment="1">
      <alignment horizontal="right" vertical="center" wrapText="1"/>
    </xf>
    <xf numFmtId="3" fontId="22" fillId="12" borderId="58" xfId="0" applyNumberFormat="1" applyFont="1" applyFill="1" applyBorder="1" applyAlignment="1">
      <alignment horizontal="right" vertical="center" wrapText="1"/>
    </xf>
    <xf numFmtId="3" fontId="22" fillId="12" borderId="75" xfId="0" applyNumberFormat="1" applyFont="1" applyFill="1" applyBorder="1" applyAlignment="1">
      <alignment horizontal="right" vertical="center" wrapText="1"/>
    </xf>
    <xf numFmtId="3" fontId="22" fillId="12" borderId="44" xfId="0" applyNumberFormat="1" applyFont="1" applyFill="1" applyBorder="1" applyAlignment="1">
      <alignment horizontal="right" vertical="center" wrapText="1"/>
    </xf>
    <xf numFmtId="3" fontId="11" fillId="12" borderId="23" xfId="0" applyNumberFormat="1" applyFont="1" applyFill="1" applyBorder="1" applyAlignment="1">
      <alignment horizontal="right" vertical="center"/>
    </xf>
    <xf numFmtId="3" fontId="13" fillId="12" borderId="24" xfId="0" applyNumberFormat="1" applyFont="1" applyFill="1" applyBorder="1" applyAlignment="1">
      <alignment horizontal="right" vertical="center" wrapText="1"/>
    </xf>
    <xf numFmtId="3" fontId="22" fillId="12" borderId="23" xfId="0" applyNumberFormat="1" applyFont="1" applyFill="1" applyBorder="1" applyAlignment="1">
      <alignment horizontal="right" vertical="center" wrapText="1"/>
    </xf>
    <xf numFmtId="3" fontId="22" fillId="12" borderId="24" xfId="0" applyNumberFormat="1" applyFont="1" applyFill="1" applyBorder="1" applyAlignment="1">
      <alignment horizontal="right" vertical="center" wrapText="1"/>
    </xf>
    <xf numFmtId="3" fontId="22" fillId="12" borderId="21" xfId="0" applyNumberFormat="1" applyFont="1" applyFill="1" applyBorder="1" applyAlignment="1">
      <alignment horizontal="right" vertical="center" wrapText="1"/>
    </xf>
    <xf numFmtId="3" fontId="22" fillId="12" borderId="23" xfId="0" applyNumberFormat="1" applyFont="1" applyFill="1" applyBorder="1" applyAlignment="1">
      <alignment horizontal="center" vertical="center" wrapText="1"/>
    </xf>
    <xf numFmtId="49" fontId="22" fillId="12" borderId="25" xfId="0" applyNumberFormat="1" applyFont="1" applyFill="1" applyBorder="1" applyAlignment="1">
      <alignment horizontal="center" vertical="center" wrapText="1"/>
    </xf>
    <xf numFmtId="0" fontId="22" fillId="12" borderId="23" xfId="0" applyFont="1" applyFill="1" applyBorder="1" applyAlignment="1">
      <alignment horizontal="center" vertical="center" wrapText="1"/>
    </xf>
    <xf numFmtId="49" fontId="24" fillId="12" borderId="26" xfId="0" applyNumberFormat="1" applyFont="1" applyFill="1" applyBorder="1" applyAlignment="1">
      <alignment horizontal="center" vertical="center" wrapText="1"/>
    </xf>
    <xf numFmtId="0" fontId="32" fillId="12" borderId="31" xfId="0" applyFont="1" applyFill="1" applyBorder="1" applyAlignment="1">
      <alignment horizontal="center" vertical="center" wrapText="1"/>
    </xf>
    <xf numFmtId="0" fontId="22" fillId="12" borderId="32" xfId="0" applyFont="1" applyFill="1" applyBorder="1" applyAlignment="1">
      <alignment horizontal="center" vertical="center" wrapText="1"/>
    </xf>
    <xf numFmtId="3" fontId="24" fillId="12" borderId="26" xfId="0" applyNumberFormat="1" applyFont="1" applyFill="1" applyBorder="1" applyAlignment="1">
      <alignment horizontal="right" vertical="center" wrapText="1"/>
    </xf>
    <xf numFmtId="3" fontId="22" fillId="12" borderId="31" xfId="0" applyNumberFormat="1" applyFont="1" applyFill="1" applyBorder="1" applyAlignment="1">
      <alignment horizontal="right" vertical="center" wrapText="1"/>
    </xf>
    <xf numFmtId="3" fontId="22" fillId="12" borderId="47" xfId="0" applyNumberFormat="1" applyFont="1" applyFill="1" applyBorder="1" applyAlignment="1">
      <alignment horizontal="right" vertical="center" wrapText="1"/>
    </xf>
    <xf numFmtId="3" fontId="22" fillId="12" borderId="41" xfId="0" applyNumberFormat="1" applyFont="1" applyFill="1" applyBorder="1" applyAlignment="1">
      <alignment horizontal="right" vertical="center" wrapText="1"/>
    </xf>
    <xf numFmtId="3" fontId="22" fillId="12" borderId="36" xfId="0" applyNumberFormat="1" applyFont="1" applyFill="1" applyBorder="1" applyAlignment="1">
      <alignment horizontal="right" vertical="center" wrapText="1"/>
    </xf>
    <xf numFmtId="3" fontId="11" fillId="12" borderId="26" xfId="0" applyNumberFormat="1" applyFont="1" applyFill="1" applyBorder="1" applyAlignment="1">
      <alignment horizontal="right" vertical="center"/>
    </xf>
    <xf numFmtId="3" fontId="13" fillId="12" borderId="32" xfId="0" applyNumberFormat="1" applyFont="1" applyFill="1" applyBorder="1" applyAlignment="1">
      <alignment horizontal="right" vertical="center" wrapText="1"/>
    </xf>
    <xf numFmtId="3" fontId="22" fillId="12" borderId="26" xfId="0" applyNumberFormat="1" applyFont="1" applyFill="1" applyBorder="1" applyAlignment="1">
      <alignment horizontal="right" vertical="center" wrapText="1"/>
    </xf>
    <xf numFmtId="3" fontId="22" fillId="12" borderId="32" xfId="0" applyNumberFormat="1" applyFont="1" applyFill="1" applyBorder="1" applyAlignment="1">
      <alignment horizontal="right" vertical="center" wrapText="1"/>
    </xf>
    <xf numFmtId="3" fontId="22" fillId="12" borderId="20" xfId="0" applyNumberFormat="1" applyFont="1" applyFill="1" applyBorder="1" applyAlignment="1">
      <alignment horizontal="right" vertical="center" wrapText="1"/>
    </xf>
    <xf numFmtId="3" fontId="22" fillId="12" borderId="26" xfId="0" applyNumberFormat="1" applyFont="1" applyFill="1" applyBorder="1" applyAlignment="1">
      <alignment horizontal="center" vertical="center" wrapText="1"/>
    </xf>
    <xf numFmtId="49" fontId="22" fillId="12" borderId="31" xfId="0" applyNumberFormat="1" applyFont="1" applyFill="1" applyBorder="1" applyAlignment="1">
      <alignment horizontal="center" vertical="center" wrapText="1"/>
    </xf>
    <xf numFmtId="0" fontId="22" fillId="12" borderId="26" xfId="0" applyFont="1" applyFill="1" applyBorder="1" applyAlignment="1">
      <alignment horizontal="center" vertical="center" wrapText="1"/>
    </xf>
    <xf numFmtId="3" fontId="22" fillId="12" borderId="31" xfId="0" applyNumberFormat="1" applyFont="1" applyFill="1" applyBorder="1" applyAlignment="1">
      <alignment horizontal="center" vertical="center" wrapText="1"/>
    </xf>
    <xf numFmtId="0" fontId="40" fillId="2" borderId="15" xfId="0" applyFont="1" applyFill="1" applyBorder="1" applyAlignment="1">
      <alignment horizontal="center" vertical="center" wrapText="1"/>
    </xf>
    <xf numFmtId="3" fontId="17" fillId="2" borderId="13" xfId="0" applyNumberFormat="1" applyFont="1" applyFill="1" applyBorder="1" applyAlignment="1">
      <alignment horizontal="right" vertical="center"/>
    </xf>
    <xf numFmtId="49" fontId="16" fillId="0" borderId="13" xfId="0" applyNumberFormat="1" applyFont="1" applyBorder="1" applyAlignment="1">
      <alignment horizontal="center" vertical="center" wrapText="1"/>
    </xf>
    <xf numFmtId="3" fontId="16" fillId="3" borderId="13" xfId="0" applyNumberFormat="1" applyFont="1" applyFill="1" applyBorder="1" applyAlignment="1">
      <alignment horizontal="right" vertical="center" wrapText="1"/>
    </xf>
    <xf numFmtId="49" fontId="13" fillId="4" borderId="23" xfId="0" applyNumberFormat="1" applyFont="1" applyFill="1" applyBorder="1" applyAlignment="1">
      <alignment horizontal="center" vertical="center" wrapText="1" shrinkToFit="1"/>
    </xf>
    <xf numFmtId="49" fontId="14" fillId="4" borderId="25" xfId="0" applyNumberFormat="1" applyFont="1" applyFill="1" applyBorder="1" applyAlignment="1">
      <alignment horizontal="center" vertical="center" wrapText="1"/>
    </xf>
    <xf numFmtId="3" fontId="11" fillId="4" borderId="58" xfId="0" applyNumberFormat="1" applyFont="1" applyFill="1" applyBorder="1" applyAlignment="1">
      <alignment horizontal="right" vertical="center" wrapText="1"/>
    </xf>
    <xf numFmtId="3" fontId="11" fillId="4" borderId="24" xfId="0" applyNumberFormat="1" applyFont="1" applyFill="1" applyBorder="1" applyAlignment="1">
      <alignment horizontal="right" vertical="center" wrapText="1"/>
    </xf>
    <xf numFmtId="3" fontId="11" fillId="4" borderId="47" xfId="0" applyNumberFormat="1" applyFont="1" applyFill="1" applyBorder="1" applyAlignment="1">
      <alignment horizontal="right" vertical="center" wrapText="1"/>
    </xf>
    <xf numFmtId="3" fontId="11" fillId="4" borderId="36" xfId="0" applyNumberFormat="1" applyFont="1" applyFill="1" applyBorder="1" applyAlignment="1">
      <alignment horizontal="right" vertical="center" wrapText="1"/>
    </xf>
    <xf numFmtId="3" fontId="11" fillId="4" borderId="32" xfId="0" applyNumberFormat="1" applyFont="1" applyFill="1" applyBorder="1" applyAlignment="1">
      <alignment horizontal="right" vertical="center" wrapText="1"/>
    </xf>
    <xf numFmtId="3" fontId="11" fillId="4" borderId="44" xfId="0" applyNumberFormat="1" applyFont="1" applyFill="1" applyBorder="1" applyAlignment="1">
      <alignment horizontal="right" vertical="center" wrapText="1"/>
    </xf>
    <xf numFmtId="49" fontId="13" fillId="0" borderId="18" xfId="0" applyNumberFormat="1" applyFont="1" applyBorder="1" applyAlignment="1">
      <alignment horizontal="center" vertical="center"/>
    </xf>
    <xf numFmtId="3" fontId="13" fillId="3" borderId="6" xfId="0" applyNumberFormat="1" applyFont="1" applyFill="1" applyBorder="1" applyAlignment="1">
      <alignment horizontal="right" vertical="center"/>
    </xf>
    <xf numFmtId="0" fontId="14" fillId="2" borderId="31" xfId="1" applyFont="1" applyFill="1" applyBorder="1" applyAlignment="1">
      <alignment horizontal="center" vertical="center" wrapText="1"/>
    </xf>
    <xf numFmtId="3" fontId="11" fillId="2" borderId="34" xfId="0" applyNumberFormat="1" applyFont="1" applyFill="1" applyBorder="1" applyAlignment="1">
      <alignment horizontal="right" vertical="center" wrapText="1"/>
    </xf>
    <xf numFmtId="3" fontId="13" fillId="2" borderId="49" xfId="0" applyNumberFormat="1" applyFont="1" applyFill="1" applyBorder="1" applyAlignment="1">
      <alignment vertical="center" wrapText="1"/>
    </xf>
    <xf numFmtId="3" fontId="13" fillId="2" borderId="20" xfId="0" applyNumberFormat="1" applyFont="1" applyFill="1" applyBorder="1" applyAlignment="1">
      <alignment vertical="center" wrapText="1"/>
    </xf>
    <xf numFmtId="49" fontId="13" fillId="2" borderId="13" xfId="0" applyNumberFormat="1" applyFont="1" applyFill="1" applyBorder="1" applyAlignment="1">
      <alignment horizontal="center" vertical="center" wrapText="1" shrinkToFit="1"/>
    </xf>
    <xf numFmtId="3" fontId="11" fillId="2" borderId="60" xfId="0" applyNumberFormat="1" applyFont="1" applyFill="1" applyBorder="1" applyAlignment="1">
      <alignment vertical="center" wrapText="1"/>
    </xf>
    <xf numFmtId="3" fontId="11" fillId="2" borderId="45" xfId="0" applyNumberFormat="1" applyFont="1" applyFill="1" applyBorder="1" applyAlignment="1">
      <alignment vertical="center" wrapText="1"/>
    </xf>
    <xf numFmtId="49" fontId="13" fillId="2" borderId="33" xfId="0" applyNumberFormat="1" applyFont="1" applyFill="1" applyBorder="1" applyAlignment="1">
      <alignment horizontal="center" vertical="center" wrapText="1"/>
    </xf>
    <xf numFmtId="49" fontId="11" fillId="2" borderId="27" xfId="0" applyNumberFormat="1" applyFont="1" applyFill="1" applyBorder="1" applyAlignment="1">
      <alignment horizontal="center" vertical="center" wrapText="1"/>
    </xf>
    <xf numFmtId="49" fontId="13" fillId="2" borderId="23" xfId="0" applyNumberFormat="1" applyFont="1" applyFill="1" applyBorder="1" applyAlignment="1">
      <alignment horizontal="center" vertical="center"/>
    </xf>
    <xf numFmtId="49" fontId="13" fillId="2" borderId="23" xfId="0" applyNumberFormat="1" applyFont="1" applyFill="1" applyBorder="1" applyAlignment="1">
      <alignment horizontal="center" vertical="center" shrinkToFit="1"/>
    </xf>
    <xf numFmtId="3" fontId="13" fillId="2" borderId="25" xfId="1" applyNumberFormat="1" applyFont="1" applyFill="1" applyBorder="1" applyAlignment="1">
      <alignment vertical="center"/>
    </xf>
    <xf numFmtId="3" fontId="11" fillId="2" borderId="44" xfId="0" applyNumberFormat="1" applyFont="1" applyFill="1" applyBorder="1" applyAlignment="1">
      <alignment vertical="center"/>
    </xf>
    <xf numFmtId="3" fontId="11" fillId="2" borderId="51" xfId="0" applyNumberFormat="1" applyFont="1" applyFill="1" applyBorder="1" applyAlignment="1">
      <alignment vertical="center"/>
    </xf>
    <xf numFmtId="49" fontId="11" fillId="2" borderId="27" xfId="0" applyNumberFormat="1" applyFont="1" applyFill="1" applyBorder="1" applyAlignment="1">
      <alignment horizontal="center" vertical="center"/>
    </xf>
    <xf numFmtId="0" fontId="11" fillId="2" borderId="2" xfId="1" applyFill="1" applyBorder="1" applyAlignment="1">
      <alignment horizontal="center" vertical="center" wrapText="1"/>
    </xf>
    <xf numFmtId="49" fontId="16" fillId="0" borderId="33" xfId="0" applyNumberFormat="1" applyFont="1" applyBorder="1" applyAlignment="1">
      <alignment horizontal="center" vertical="center"/>
    </xf>
    <xf numFmtId="3" fontId="16" fillId="3" borderId="35" xfId="0" applyNumberFormat="1" applyFont="1" applyFill="1" applyBorder="1" applyAlignment="1">
      <alignment horizontal="right" vertical="center"/>
    </xf>
    <xf numFmtId="49" fontId="13" fillId="2" borderId="33" xfId="0" applyNumberFormat="1" applyFont="1" applyFill="1" applyBorder="1" applyAlignment="1">
      <alignment horizontal="center" vertical="center"/>
    </xf>
    <xf numFmtId="49" fontId="13" fillId="2" borderId="33" xfId="0" applyNumberFormat="1" applyFont="1" applyFill="1" applyBorder="1" applyAlignment="1">
      <alignment horizontal="center" vertical="center" shrinkToFit="1"/>
    </xf>
    <xf numFmtId="0" fontId="14" fillId="2" borderId="40" xfId="1" applyFont="1" applyFill="1" applyBorder="1" applyAlignment="1">
      <alignment horizontal="center" vertical="center" wrapText="1"/>
    </xf>
    <xf numFmtId="3" fontId="13" fillId="2" borderId="33" xfId="1" applyNumberFormat="1" applyFont="1" applyFill="1" applyBorder="1" applyAlignment="1">
      <alignment vertical="center"/>
    </xf>
    <xf numFmtId="3" fontId="13" fillId="2" borderId="34" xfId="1" applyNumberFormat="1" applyFont="1" applyFill="1" applyBorder="1" applyAlignment="1">
      <alignment vertical="center"/>
    </xf>
    <xf numFmtId="3" fontId="11" fillId="2" borderId="33" xfId="0" applyNumberFormat="1" applyFont="1" applyFill="1" applyBorder="1" applyAlignment="1">
      <alignment horizontal="right" vertical="center"/>
    </xf>
    <xf numFmtId="3" fontId="13" fillId="2" borderId="35" xfId="0" applyNumberFormat="1" applyFont="1" applyFill="1" applyBorder="1" applyAlignment="1">
      <alignment horizontal="right" vertical="center"/>
    </xf>
    <xf numFmtId="3" fontId="11" fillId="2" borderId="33" xfId="0" applyNumberFormat="1" applyFont="1" applyFill="1" applyBorder="1" applyAlignment="1">
      <alignment vertical="center"/>
    </xf>
    <xf numFmtId="3" fontId="11" fillId="2" borderId="34" xfId="0" applyNumberFormat="1" applyFont="1" applyFill="1" applyBorder="1" applyAlignment="1">
      <alignment vertical="center"/>
    </xf>
    <xf numFmtId="3" fontId="11" fillId="2" borderId="49" xfId="0" applyNumberFormat="1" applyFont="1" applyFill="1" applyBorder="1" applyAlignment="1">
      <alignment vertical="center"/>
    </xf>
    <xf numFmtId="3" fontId="11" fillId="2" borderId="43" xfId="0" applyNumberFormat="1" applyFont="1" applyFill="1" applyBorder="1" applyAlignment="1">
      <alignment vertical="center"/>
    </xf>
    <xf numFmtId="3" fontId="11" fillId="2" borderId="40" xfId="0" applyNumberFormat="1" applyFont="1" applyFill="1" applyBorder="1" applyAlignment="1">
      <alignment vertical="center"/>
    </xf>
    <xf numFmtId="3" fontId="11" fillId="2" borderId="49" xfId="0" applyNumberFormat="1" applyFont="1" applyFill="1" applyBorder="1" applyAlignment="1">
      <alignment horizontal="right" vertical="center"/>
    </xf>
    <xf numFmtId="3" fontId="11" fillId="2" borderId="70" xfId="0" applyNumberFormat="1" applyFont="1" applyFill="1" applyBorder="1" applyAlignment="1">
      <alignment horizontal="right" vertical="center"/>
    </xf>
    <xf numFmtId="3" fontId="11" fillId="2" borderId="40" xfId="0" applyNumberFormat="1" applyFont="1" applyFill="1" applyBorder="1" applyAlignment="1">
      <alignment horizontal="right" vertical="center"/>
    </xf>
    <xf numFmtId="49" fontId="11" fillId="2" borderId="40" xfId="0" applyNumberFormat="1" applyFont="1" applyFill="1" applyBorder="1" applyAlignment="1">
      <alignment horizontal="center" vertical="center"/>
    </xf>
    <xf numFmtId="49" fontId="11" fillId="2" borderId="34" xfId="0" applyNumberFormat="1" applyFont="1" applyFill="1" applyBorder="1" applyAlignment="1">
      <alignment horizontal="center" vertical="center"/>
    </xf>
    <xf numFmtId="3" fontId="11" fillId="2" borderId="70" xfId="0" applyNumberFormat="1" applyFont="1" applyFill="1" applyBorder="1" applyAlignment="1">
      <alignment vertical="center"/>
    </xf>
    <xf numFmtId="3" fontId="11" fillId="2" borderId="59" xfId="0" applyNumberFormat="1" applyFont="1" applyFill="1" applyBorder="1" applyAlignment="1">
      <alignment vertical="center"/>
    </xf>
    <xf numFmtId="49" fontId="16" fillId="0" borderId="22" xfId="0" applyNumberFormat="1" applyFont="1" applyBorder="1" applyAlignment="1">
      <alignment horizontal="center" vertical="center"/>
    </xf>
    <xf numFmtId="3" fontId="16" fillId="3" borderId="29" xfId="0" applyNumberFormat="1" applyFont="1" applyFill="1" applyBorder="1" applyAlignment="1">
      <alignment horizontal="right" vertical="center"/>
    </xf>
    <xf numFmtId="49" fontId="13" fillId="2" borderId="26" xfId="0" applyNumberFormat="1" applyFont="1" applyFill="1" applyBorder="1" applyAlignment="1">
      <alignment horizontal="center" vertical="center"/>
    </xf>
    <xf numFmtId="49" fontId="13" fillId="2" borderId="26" xfId="0" applyNumberFormat="1" applyFont="1" applyFill="1" applyBorder="1" applyAlignment="1">
      <alignment horizontal="center" vertical="center" shrinkToFit="1"/>
    </xf>
    <xf numFmtId="49" fontId="11" fillId="2" borderId="37" xfId="0" applyNumberFormat="1" applyFont="1" applyFill="1" applyBorder="1" applyAlignment="1">
      <alignment horizontal="center" vertical="center"/>
    </xf>
    <xf numFmtId="49" fontId="13" fillId="2" borderId="13" xfId="0" applyNumberFormat="1" applyFont="1" applyFill="1" applyBorder="1" applyAlignment="1">
      <alignment horizontal="center" vertical="center" shrinkToFit="1"/>
    </xf>
    <xf numFmtId="0" fontId="14" fillId="2" borderId="19" xfId="1" applyFont="1" applyFill="1" applyBorder="1" applyAlignment="1">
      <alignment horizontal="center" vertical="center" wrapText="1"/>
    </xf>
    <xf numFmtId="49" fontId="11" fillId="2" borderId="19" xfId="0" applyNumberFormat="1" applyFont="1" applyFill="1" applyBorder="1" applyAlignment="1">
      <alignment horizontal="center" vertical="center"/>
    </xf>
    <xf numFmtId="49" fontId="18" fillId="2" borderId="13" xfId="0" applyNumberFormat="1" applyFont="1" applyFill="1" applyBorder="1" applyAlignment="1">
      <alignment horizontal="center" vertical="center"/>
    </xf>
    <xf numFmtId="49" fontId="18" fillId="2" borderId="13" xfId="0" applyNumberFormat="1" applyFont="1" applyFill="1" applyBorder="1" applyAlignment="1">
      <alignment horizontal="center" vertical="center" shrinkToFit="1"/>
    </xf>
    <xf numFmtId="0" fontId="40" fillId="2" borderId="19" xfId="1" applyFont="1" applyFill="1" applyBorder="1" applyAlignment="1">
      <alignment horizontal="center" vertical="center" wrapText="1"/>
    </xf>
    <xf numFmtId="3" fontId="18" fillId="2" borderId="13" xfId="1" applyNumberFormat="1" applyFont="1" applyFill="1" applyBorder="1" applyAlignment="1">
      <alignment vertical="center"/>
    </xf>
    <xf numFmtId="49" fontId="17" fillId="2" borderId="19" xfId="0" applyNumberFormat="1" applyFont="1" applyFill="1" applyBorder="1" applyAlignment="1">
      <alignment horizontal="center" vertical="center"/>
    </xf>
    <xf numFmtId="3" fontId="36" fillId="3" borderId="35" xfId="0" applyNumberFormat="1" applyFont="1" applyFill="1" applyBorder="1" applyAlignment="1">
      <alignment vertical="center"/>
    </xf>
    <xf numFmtId="49" fontId="13" fillId="2" borderId="6" xfId="0" applyNumberFormat="1" applyFont="1" applyFill="1" applyBorder="1" applyAlignment="1">
      <alignment horizontal="center" vertical="center" wrapText="1" shrinkToFit="1"/>
    </xf>
    <xf numFmtId="0" fontId="14" fillId="2" borderId="5" xfId="0" applyFont="1" applyFill="1" applyBorder="1" applyAlignment="1">
      <alignment horizontal="center" vertical="center" wrapText="1"/>
    </xf>
    <xf numFmtId="49" fontId="13" fillId="2" borderId="12" xfId="0" applyNumberFormat="1" applyFont="1" applyFill="1" applyBorder="1" applyAlignment="1">
      <alignment horizontal="center" vertical="center" wrapText="1"/>
    </xf>
    <xf numFmtId="3" fontId="13" fillId="2" borderId="12" xfId="1" applyNumberFormat="1" applyFont="1" applyFill="1" applyBorder="1" applyAlignment="1">
      <alignment horizontal="right" vertical="center" wrapText="1"/>
    </xf>
    <xf numFmtId="3" fontId="11" fillId="2" borderId="55" xfId="1" applyNumberFormat="1" applyFill="1" applyBorder="1" applyAlignment="1">
      <alignment horizontal="right" vertical="center" wrapText="1"/>
    </xf>
    <xf numFmtId="3" fontId="11" fillId="2" borderId="57" xfId="1" applyNumberFormat="1" applyFill="1" applyBorder="1" applyAlignment="1">
      <alignment horizontal="right" vertical="center" wrapText="1"/>
    </xf>
    <xf numFmtId="3" fontId="36" fillId="3" borderId="45" xfId="0" applyNumberFormat="1" applyFont="1" applyFill="1" applyBorder="1" applyAlignment="1">
      <alignment horizontal="right" vertical="center" wrapText="1"/>
    </xf>
    <xf numFmtId="49" fontId="13" fillId="4" borderId="22" xfId="0" applyNumberFormat="1" applyFont="1" applyFill="1" applyBorder="1" applyAlignment="1">
      <alignment horizontal="center" vertical="center" wrapText="1"/>
    </xf>
    <xf numFmtId="49" fontId="13" fillId="4" borderId="29" xfId="0" applyNumberFormat="1" applyFont="1" applyFill="1" applyBorder="1" applyAlignment="1">
      <alignment horizontal="center" vertical="center" wrapText="1" shrinkToFit="1"/>
    </xf>
    <xf numFmtId="0" fontId="14" fillId="4" borderId="0" xfId="0" applyFont="1" applyFill="1" applyAlignment="1">
      <alignment horizontal="center" vertical="center" wrapText="1"/>
    </xf>
    <xf numFmtId="3" fontId="11" fillId="4" borderId="71" xfId="0" applyNumberFormat="1" applyFont="1" applyFill="1" applyBorder="1" applyAlignment="1">
      <alignment horizontal="right" vertical="center" wrapText="1"/>
    </xf>
    <xf numFmtId="3" fontId="11" fillId="4" borderId="73" xfId="0" applyNumberFormat="1" applyFont="1" applyFill="1" applyBorder="1" applyAlignment="1">
      <alignment horizontal="right" vertical="center" wrapText="1"/>
    </xf>
    <xf numFmtId="3" fontId="11" fillId="4" borderId="64" xfId="0" applyNumberFormat="1" applyFont="1" applyFill="1" applyBorder="1" applyAlignment="1">
      <alignment horizontal="right" vertical="center" wrapText="1"/>
    </xf>
    <xf numFmtId="3" fontId="11" fillId="4" borderId="29" xfId="0" applyNumberFormat="1" applyFont="1" applyFill="1" applyBorder="1" applyAlignment="1">
      <alignment horizontal="right" vertical="center" wrapText="1"/>
    </xf>
    <xf numFmtId="3" fontId="13" fillId="4" borderId="22" xfId="0" applyNumberFormat="1" applyFont="1" applyFill="1" applyBorder="1" applyAlignment="1">
      <alignment horizontal="right" vertical="center" wrapText="1"/>
    </xf>
    <xf numFmtId="3" fontId="11" fillId="4" borderId="0" xfId="0" applyNumberFormat="1" applyFont="1" applyFill="1" applyAlignment="1">
      <alignment horizontal="right" vertical="center" wrapText="1"/>
    </xf>
    <xf numFmtId="49" fontId="13" fillId="4" borderId="32" xfId="0" applyNumberFormat="1" applyFont="1" applyFill="1" applyBorder="1" applyAlignment="1">
      <alignment horizontal="center" vertical="center" wrapText="1" shrinkToFit="1"/>
    </xf>
    <xf numFmtId="0" fontId="14" fillId="4" borderId="37" xfId="0" applyFont="1" applyFill="1" applyBorder="1" applyAlignment="1">
      <alignment horizontal="center" vertical="center" wrapText="1"/>
    </xf>
    <xf numFmtId="3" fontId="11" fillId="4" borderId="42" xfId="0" applyNumberFormat="1" applyFont="1" applyFill="1" applyBorder="1" applyAlignment="1">
      <alignment horizontal="right" vertical="center" wrapText="1"/>
    </xf>
    <xf numFmtId="3" fontId="11" fillId="4" borderId="37" xfId="0" applyNumberFormat="1" applyFont="1" applyFill="1" applyBorder="1" applyAlignment="1">
      <alignment horizontal="right" vertical="center" wrapText="1"/>
    </xf>
    <xf numFmtId="3" fontId="11" fillId="4" borderId="3" xfId="0" applyNumberFormat="1" applyFont="1" applyFill="1" applyBorder="1" applyAlignment="1">
      <alignment horizontal="right" vertical="center" wrapText="1"/>
    </xf>
    <xf numFmtId="0" fontId="37" fillId="2" borderId="0" xfId="0" applyFont="1" applyFill="1" applyAlignment="1">
      <alignment wrapText="1"/>
    </xf>
    <xf numFmtId="0" fontId="37" fillId="2" borderId="0" xfId="0" applyFont="1" applyFill="1"/>
    <xf numFmtId="0" fontId="41" fillId="2" borderId="0" xfId="0" applyFont="1" applyFill="1"/>
    <xf numFmtId="3" fontId="37" fillId="2" borderId="0" xfId="0" applyNumberFormat="1" applyFont="1" applyFill="1"/>
    <xf numFmtId="0" fontId="29" fillId="2" borderId="0" xfId="0" applyFont="1" applyFill="1" applyAlignment="1">
      <alignment horizontal="right"/>
    </xf>
    <xf numFmtId="0" fontId="37" fillId="2" borderId="0" xfId="0" applyFont="1" applyFill="1" applyAlignment="1">
      <alignment horizontal="center"/>
    </xf>
    <xf numFmtId="0" fontId="37" fillId="2" borderId="0" xfId="0" applyFont="1" applyFill="1" applyAlignment="1">
      <alignment horizontal="center" vertical="center"/>
    </xf>
    <xf numFmtId="0" fontId="11" fillId="2" borderId="24" xfId="1" applyFill="1" applyBorder="1" applyAlignment="1">
      <alignment horizontal="center" vertical="center" wrapText="1"/>
    </xf>
    <xf numFmtId="0" fontId="11" fillId="2" borderId="23" xfId="1" applyFill="1" applyBorder="1" applyAlignment="1">
      <alignment horizontal="center" vertical="center" wrapText="1"/>
    </xf>
    <xf numFmtId="3" fontId="11" fillId="2" borderId="58" xfId="1" applyNumberFormat="1" applyFill="1" applyBorder="1" applyAlignment="1">
      <alignment vertical="center" wrapText="1"/>
    </xf>
    <xf numFmtId="3" fontId="11" fillId="2" borderId="75" xfId="1" applyNumberFormat="1" applyFill="1" applyBorder="1" applyAlignment="1">
      <alignment vertical="center" wrapText="1"/>
    </xf>
    <xf numFmtId="0" fontId="11" fillId="2" borderId="27" xfId="1" applyFill="1" applyBorder="1" applyAlignment="1">
      <alignment horizontal="center" vertical="center" wrapText="1"/>
    </xf>
    <xf numFmtId="0" fontId="38" fillId="0" borderId="1" xfId="0" applyFont="1" applyBorder="1"/>
    <xf numFmtId="3" fontId="11" fillId="2" borderId="55" xfId="1" applyNumberFormat="1" applyFill="1" applyBorder="1" applyAlignment="1">
      <alignment vertical="center" wrapText="1"/>
    </xf>
    <xf numFmtId="3" fontId="11" fillId="2" borderId="57" xfId="1" applyNumberFormat="1" applyFill="1" applyBorder="1" applyAlignment="1">
      <alignment vertical="center" wrapText="1"/>
    </xf>
    <xf numFmtId="0" fontId="38" fillId="0" borderId="5" xfId="0" applyFont="1" applyBorder="1"/>
    <xf numFmtId="0" fontId="45" fillId="0" borderId="0" xfId="0" applyFont="1"/>
    <xf numFmtId="0" fontId="11" fillId="2" borderId="26" xfId="1" applyFill="1" applyBorder="1" applyAlignment="1">
      <alignment horizontal="center" vertical="center" wrapText="1"/>
    </xf>
    <xf numFmtId="3" fontId="11" fillId="2" borderId="47" xfId="1" applyNumberFormat="1" applyFill="1" applyBorder="1" applyAlignment="1">
      <alignment horizontal="right" vertical="center" wrapText="1"/>
    </xf>
    <xf numFmtId="3" fontId="11" fillId="2" borderId="41" xfId="1" applyNumberFormat="1" applyFill="1" applyBorder="1" applyAlignment="1">
      <alignment horizontal="right" vertical="center" wrapText="1"/>
    </xf>
    <xf numFmtId="0" fontId="45" fillId="0" borderId="1" xfId="0" applyFont="1" applyBorder="1"/>
    <xf numFmtId="0" fontId="11" fillId="4" borderId="22" xfId="1" applyFill="1" applyBorder="1" applyAlignment="1">
      <alignment horizontal="center" vertical="center" wrapText="1"/>
    </xf>
    <xf numFmtId="3" fontId="11" fillId="4" borderId="64" xfId="1" applyNumberFormat="1" applyFill="1" applyBorder="1" applyAlignment="1">
      <alignment horizontal="right" vertical="center" wrapText="1"/>
    </xf>
    <xf numFmtId="3" fontId="11" fillId="4" borderId="66" xfId="1" applyNumberFormat="1" applyFill="1" applyBorder="1" applyAlignment="1">
      <alignment horizontal="right" vertical="center" wrapText="1"/>
    </xf>
    <xf numFmtId="0" fontId="11" fillId="4" borderId="26" xfId="1" applyFill="1" applyBorder="1" applyAlignment="1">
      <alignment horizontal="center" vertical="center" wrapText="1"/>
    </xf>
    <xf numFmtId="3" fontId="11" fillId="4" borderId="47" xfId="1" applyNumberFormat="1" applyFill="1" applyBorder="1" applyAlignment="1">
      <alignment horizontal="right" vertical="center" wrapText="1"/>
    </xf>
    <xf numFmtId="3" fontId="11" fillId="4" borderId="41" xfId="1" applyNumberFormat="1" applyFill="1" applyBorder="1" applyAlignment="1">
      <alignment horizontal="right" vertical="center" wrapText="1"/>
    </xf>
    <xf numFmtId="0" fontId="33" fillId="0" borderId="0" xfId="0" applyFont="1"/>
    <xf numFmtId="0" fontId="11" fillId="2" borderId="16" xfId="1" applyFill="1" applyBorder="1" applyAlignment="1">
      <alignment horizontal="center" vertical="center" wrapText="1"/>
    </xf>
    <xf numFmtId="0" fontId="11" fillId="2" borderId="14" xfId="1" applyFill="1" applyBorder="1" applyAlignment="1">
      <alignment horizontal="center" vertical="center" wrapText="1"/>
    </xf>
    <xf numFmtId="3" fontId="11" fillId="2" borderId="68" xfId="1" applyNumberFormat="1" applyFill="1" applyBorder="1" applyAlignment="1">
      <alignment vertical="center" wrapText="1"/>
    </xf>
    <xf numFmtId="3" fontId="11" fillId="2" borderId="52" xfId="1" applyNumberFormat="1" applyFill="1" applyBorder="1" applyAlignment="1">
      <alignment vertical="center" wrapText="1"/>
    </xf>
    <xf numFmtId="3" fontId="11" fillId="0" borderId="14" xfId="1" applyNumberFormat="1" applyBorder="1" applyAlignment="1">
      <alignment horizontal="center" vertical="center" wrapText="1"/>
    </xf>
    <xf numFmtId="3" fontId="11" fillId="0" borderId="30" xfId="1" applyNumberFormat="1" applyBorder="1" applyAlignment="1">
      <alignment horizontal="center" vertical="center" wrapText="1"/>
    </xf>
    <xf numFmtId="3" fontId="11" fillId="0" borderId="68" xfId="1" applyNumberFormat="1" applyBorder="1" applyAlignment="1">
      <alignment horizontal="center" vertical="center" wrapText="1"/>
    </xf>
    <xf numFmtId="3" fontId="11" fillId="0" borderId="52" xfId="1" applyNumberFormat="1" applyBorder="1" applyAlignment="1">
      <alignment horizontal="center" vertical="center" wrapText="1"/>
    </xf>
    <xf numFmtId="3" fontId="11" fillId="4" borderId="58" xfId="1" applyNumberFormat="1" applyFill="1" applyBorder="1" applyAlignment="1">
      <alignment horizontal="right" vertical="center" wrapText="1"/>
    </xf>
    <xf numFmtId="3" fontId="11" fillId="4" borderId="75" xfId="1" applyNumberFormat="1" applyFill="1" applyBorder="1" applyAlignment="1">
      <alignment horizontal="right" vertical="center" wrapText="1"/>
    </xf>
    <xf numFmtId="0" fontId="11" fillId="4" borderId="23" xfId="1" applyFill="1" applyBorder="1" applyAlignment="1">
      <alignment horizontal="center" vertical="center" wrapText="1"/>
    </xf>
    <xf numFmtId="0" fontId="11" fillId="2" borderId="1" xfId="1" applyFill="1" applyBorder="1" applyAlignment="1">
      <alignment horizontal="center" vertical="center" wrapText="1"/>
    </xf>
    <xf numFmtId="0" fontId="29" fillId="2" borderId="13" xfId="0" applyFont="1" applyFill="1" applyBorder="1" applyAlignment="1">
      <alignment horizontal="center" vertical="center" wrapText="1"/>
    </xf>
    <xf numFmtId="0" fontId="11" fillId="2" borderId="32" xfId="1" applyFill="1" applyBorder="1" applyAlignment="1">
      <alignment horizontal="center" vertical="center" wrapText="1"/>
    </xf>
    <xf numFmtId="0" fontId="11" fillId="2" borderId="37" xfId="1" applyFill="1" applyBorder="1" applyAlignment="1">
      <alignment horizontal="center" vertical="center" wrapText="1"/>
    </xf>
    <xf numFmtId="0" fontId="11" fillId="2" borderId="45" xfId="1" applyFill="1" applyBorder="1" applyAlignment="1">
      <alignment horizontal="center" vertical="center" wrapText="1"/>
    </xf>
    <xf numFmtId="0" fontId="11" fillId="2" borderId="13" xfId="1" applyFill="1" applyBorder="1" applyAlignment="1">
      <alignment horizontal="center" vertical="center" wrapText="1"/>
    </xf>
    <xf numFmtId="0" fontId="29" fillId="0" borderId="0" xfId="0" applyFont="1" applyAlignment="1">
      <alignment horizontal="center"/>
    </xf>
    <xf numFmtId="0" fontId="38" fillId="0" borderId="0" xfId="0" applyFont="1" applyAlignment="1">
      <alignment horizontal="center"/>
    </xf>
    <xf numFmtId="3" fontId="11" fillId="2" borderId="58" xfId="1" applyNumberFormat="1" applyFill="1" applyBorder="1" applyAlignment="1">
      <alignment vertical="center"/>
    </xf>
    <xf numFmtId="3" fontId="11" fillId="2" borderId="75" xfId="1" applyNumberFormat="1" applyFill="1" applyBorder="1" applyAlignment="1">
      <alignment vertical="center"/>
    </xf>
    <xf numFmtId="0" fontId="11" fillId="2" borderId="35" xfId="1" applyFill="1" applyBorder="1" applyAlignment="1">
      <alignment horizontal="center" vertical="center" wrapText="1"/>
    </xf>
    <xf numFmtId="0" fontId="11" fillId="2" borderId="33" xfId="1" applyFill="1" applyBorder="1" applyAlignment="1">
      <alignment horizontal="center" vertical="center" wrapText="1"/>
    </xf>
    <xf numFmtId="3" fontId="11" fillId="2" borderId="49" xfId="1" applyNumberFormat="1" applyFill="1" applyBorder="1" applyAlignment="1">
      <alignment vertical="center"/>
    </xf>
    <xf numFmtId="3" fontId="11" fillId="2" borderId="76" xfId="1" applyNumberFormat="1" applyFill="1" applyBorder="1" applyAlignment="1">
      <alignment vertical="center"/>
    </xf>
    <xf numFmtId="3" fontId="11" fillId="2" borderId="42" xfId="1" applyNumberFormat="1" applyFill="1" applyBorder="1" applyAlignment="1">
      <alignment vertical="center"/>
    </xf>
    <xf numFmtId="3" fontId="11" fillId="2" borderId="47" xfId="1" applyNumberFormat="1" applyFill="1" applyBorder="1" applyAlignment="1">
      <alignment vertical="center"/>
    </xf>
    <xf numFmtId="3" fontId="11" fillId="2" borderId="41" xfId="1" applyNumberFormat="1" applyFill="1" applyBorder="1" applyAlignment="1">
      <alignment vertical="center"/>
    </xf>
    <xf numFmtId="3" fontId="11" fillId="2" borderId="60" xfId="1" applyNumberFormat="1" applyFill="1" applyBorder="1" applyAlignment="1">
      <alignment vertical="center"/>
    </xf>
    <xf numFmtId="3" fontId="11" fillId="2" borderId="17" xfId="1" applyNumberFormat="1" applyFill="1" applyBorder="1" applyAlignment="1">
      <alignment vertical="center"/>
    </xf>
    <xf numFmtId="3" fontId="11" fillId="2" borderId="16" xfId="1" applyNumberFormat="1" applyFill="1" applyBorder="1" applyAlignment="1">
      <alignment vertical="center" wrapText="1"/>
    </xf>
    <xf numFmtId="3" fontId="11" fillId="2" borderId="1" xfId="1" applyNumberFormat="1" applyFill="1" applyBorder="1" applyAlignment="1">
      <alignment vertical="center" wrapText="1"/>
    </xf>
    <xf numFmtId="49" fontId="11" fillId="2" borderId="23" xfId="1" applyNumberFormat="1" applyFill="1" applyBorder="1" applyAlignment="1">
      <alignment horizontal="center" vertical="center" wrapText="1"/>
    </xf>
    <xf numFmtId="3" fontId="11" fillId="2" borderId="47" xfId="1" applyNumberFormat="1" applyFill="1" applyBorder="1" applyAlignment="1">
      <alignment vertical="center" wrapText="1"/>
    </xf>
    <xf numFmtId="3" fontId="11" fillId="2" borderId="41" xfId="1" applyNumberFormat="1" applyFill="1" applyBorder="1" applyAlignment="1">
      <alignment vertical="center" wrapText="1"/>
    </xf>
    <xf numFmtId="3" fontId="11" fillId="2" borderId="68" xfId="1" applyNumberFormat="1" applyFill="1" applyBorder="1" applyAlignment="1">
      <alignment vertical="center"/>
    </xf>
    <xf numFmtId="3" fontId="11" fillId="2" borderId="52" xfId="1" applyNumberFormat="1" applyFill="1" applyBorder="1" applyAlignment="1">
      <alignment vertical="center"/>
    </xf>
    <xf numFmtId="0" fontId="11" fillId="2" borderId="14" xfId="1" applyFill="1" applyBorder="1" applyAlignment="1">
      <alignment horizontal="center" vertical="center"/>
    </xf>
    <xf numFmtId="0" fontId="29" fillId="2" borderId="23" xfId="0" applyFont="1" applyFill="1" applyBorder="1" applyAlignment="1">
      <alignment horizontal="center" vertical="center"/>
    </xf>
    <xf numFmtId="0" fontId="29" fillId="2" borderId="26" xfId="0" applyFont="1" applyFill="1" applyBorder="1" applyAlignment="1">
      <alignment horizontal="center" vertical="center"/>
    </xf>
    <xf numFmtId="0" fontId="29" fillId="4" borderId="26" xfId="0" applyFont="1" applyFill="1" applyBorder="1" applyAlignment="1">
      <alignment horizontal="center" vertical="center"/>
    </xf>
    <xf numFmtId="0" fontId="29" fillId="4" borderId="23" xfId="0" applyFont="1" applyFill="1" applyBorder="1" applyAlignment="1">
      <alignment horizontal="center" vertical="center"/>
    </xf>
    <xf numFmtId="0" fontId="29" fillId="2" borderId="13" xfId="0" applyFont="1" applyFill="1" applyBorder="1" applyAlignment="1">
      <alignment horizontal="center" vertical="center"/>
    </xf>
    <xf numFmtId="0" fontId="45" fillId="2" borderId="23" xfId="0" applyFont="1" applyFill="1" applyBorder="1" applyAlignment="1">
      <alignment horizontal="center" vertical="center"/>
    </xf>
    <xf numFmtId="3" fontId="11" fillId="2" borderId="72" xfId="1" applyNumberFormat="1" applyFill="1" applyBorder="1" applyAlignment="1">
      <alignment horizontal="right" vertical="center" wrapText="1"/>
    </xf>
    <xf numFmtId="3" fontId="11" fillId="2" borderId="1" xfId="1" applyNumberFormat="1" applyFill="1" applyBorder="1" applyAlignment="1">
      <alignment horizontal="right" vertical="center" wrapText="1"/>
    </xf>
    <xf numFmtId="0" fontId="11" fillId="12" borderId="27" xfId="1" applyFill="1" applyBorder="1" applyAlignment="1">
      <alignment horizontal="center" vertical="center" wrapText="1"/>
    </xf>
    <xf numFmtId="0" fontId="11" fillId="12" borderId="23" xfId="1" applyFill="1" applyBorder="1" applyAlignment="1">
      <alignment horizontal="center" vertical="center" wrapText="1"/>
    </xf>
    <xf numFmtId="0" fontId="11" fillId="12" borderId="37" xfId="1" applyFill="1" applyBorder="1" applyAlignment="1">
      <alignment horizontal="center" vertical="center" wrapText="1"/>
    </xf>
    <xf numFmtId="0" fontId="11" fillId="12" borderId="26" xfId="1" applyFill="1" applyBorder="1" applyAlignment="1">
      <alignment horizontal="center" vertical="center" wrapText="1"/>
    </xf>
    <xf numFmtId="3" fontId="37" fillId="0" borderId="0" xfId="0" applyNumberFormat="1" applyFont="1"/>
    <xf numFmtId="3" fontId="29" fillId="0" borderId="0" xfId="0" applyNumberFormat="1" applyFont="1" applyAlignment="1">
      <alignment horizontal="right"/>
    </xf>
    <xf numFmtId="0" fontId="29" fillId="0" borderId="0" xfId="0" applyFont="1" applyAlignment="1">
      <alignment wrapText="1"/>
    </xf>
    <xf numFmtId="1" fontId="29" fillId="0" borderId="0" xfId="0" applyNumberFormat="1" applyFont="1"/>
    <xf numFmtId="0" fontId="49" fillId="0" borderId="25" xfId="0" applyFont="1" applyBorder="1" applyAlignment="1">
      <alignment horizontal="center" vertical="center"/>
    </xf>
    <xf numFmtId="0" fontId="49" fillId="0" borderId="27" xfId="0" applyFont="1" applyBorder="1" applyAlignment="1">
      <alignment horizontal="center" vertical="center"/>
    </xf>
    <xf numFmtId="0" fontId="49" fillId="0" borderId="24" xfId="0" applyFont="1" applyBorder="1" applyAlignment="1">
      <alignment horizontal="center" vertical="center"/>
    </xf>
    <xf numFmtId="0" fontId="38" fillId="0" borderId="0" xfId="0" applyFont="1" applyAlignment="1">
      <alignment wrapText="1"/>
    </xf>
    <xf numFmtId="0" fontId="38" fillId="0" borderId="0" xfId="0" applyFont="1" applyAlignment="1">
      <alignment horizontal="right"/>
    </xf>
    <xf numFmtId="0" fontId="29" fillId="4" borderId="67" xfId="0" applyFont="1" applyFill="1" applyBorder="1" applyAlignment="1">
      <alignment horizontal="right" vertical="center"/>
    </xf>
    <xf numFmtId="49" fontId="13" fillId="2" borderId="2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 shrinkToFit="1"/>
    </xf>
    <xf numFmtId="3" fontId="11" fillId="2" borderId="62" xfId="1" applyNumberFormat="1" applyFill="1" applyBorder="1" applyAlignment="1">
      <alignment horizontal="right" vertical="center" wrapText="1"/>
    </xf>
    <xf numFmtId="3" fontId="11" fillId="2" borderId="46" xfId="1" applyNumberFormat="1" applyFill="1" applyBorder="1" applyAlignment="1">
      <alignment horizontal="right" vertical="center" wrapText="1"/>
    </xf>
    <xf numFmtId="3" fontId="11" fillId="2" borderId="53" xfId="0" applyNumberFormat="1" applyFont="1" applyFill="1" applyBorder="1" applyAlignment="1">
      <alignment horizontal="right" vertical="center" wrapText="1"/>
    </xf>
    <xf numFmtId="3" fontId="11" fillId="2" borderId="9" xfId="0" applyNumberFormat="1" applyFont="1" applyFill="1" applyBorder="1" applyAlignment="1">
      <alignment horizontal="right" vertical="center" wrapText="1"/>
    </xf>
    <xf numFmtId="3" fontId="11" fillId="2" borderId="4" xfId="0" applyNumberFormat="1" applyFont="1" applyFill="1" applyBorder="1" applyAlignment="1">
      <alignment horizontal="right" vertical="center" wrapText="1"/>
    </xf>
    <xf numFmtId="3" fontId="11" fillId="2" borderId="63" xfId="0" applyNumberFormat="1" applyFont="1" applyFill="1" applyBorder="1" applyAlignment="1">
      <alignment horizontal="right" vertical="center" wrapText="1"/>
    </xf>
    <xf numFmtId="0" fontId="30" fillId="2" borderId="2" xfId="0" applyFont="1" applyFill="1" applyBorder="1" applyAlignment="1">
      <alignment horizontal="center" vertical="center" wrapText="1"/>
    </xf>
    <xf numFmtId="3" fontId="11" fillId="2" borderId="39" xfId="1" applyNumberFormat="1" applyFill="1" applyBorder="1" applyAlignment="1">
      <alignment horizontal="right" vertical="center" wrapText="1"/>
    </xf>
    <xf numFmtId="3" fontId="21" fillId="3" borderId="23" xfId="0" applyNumberFormat="1" applyFont="1" applyFill="1" applyBorder="1" applyAlignment="1">
      <alignment horizontal="right" vertical="center" wrapText="1"/>
    </xf>
    <xf numFmtId="3" fontId="15" fillId="2" borderId="24" xfId="0" applyNumberFormat="1" applyFont="1" applyFill="1" applyBorder="1" applyAlignment="1">
      <alignment horizontal="right" vertical="center" wrapText="1"/>
    </xf>
    <xf numFmtId="3" fontId="15" fillId="2" borderId="58" xfId="0" applyNumberFormat="1" applyFont="1" applyFill="1" applyBorder="1" applyAlignment="1">
      <alignment horizontal="right" vertical="center" wrapText="1"/>
    </xf>
    <xf numFmtId="3" fontId="15" fillId="2" borderId="21" xfId="0" applyNumberFormat="1" applyFont="1" applyFill="1" applyBorder="1" applyAlignment="1">
      <alignment horizontal="right" vertical="center" wrapText="1"/>
    </xf>
    <xf numFmtId="3" fontId="15" fillId="2" borderId="47" xfId="0" applyNumberFormat="1" applyFont="1" applyFill="1" applyBorder="1" applyAlignment="1">
      <alignment horizontal="right" vertical="center" wrapText="1"/>
    </xf>
    <xf numFmtId="3" fontId="15" fillId="2" borderId="36" xfId="0" applyNumberFormat="1" applyFont="1" applyFill="1" applyBorder="1" applyAlignment="1">
      <alignment horizontal="right" vertical="center" wrapText="1"/>
    </xf>
    <xf numFmtId="3" fontId="15" fillId="2" borderId="20" xfId="0" applyNumberFormat="1" applyFont="1" applyFill="1" applyBorder="1" applyAlignment="1">
      <alignment horizontal="right" vertical="center" wrapText="1"/>
    </xf>
    <xf numFmtId="3" fontId="11" fillId="4" borderId="46" xfId="0" applyNumberFormat="1" applyFont="1" applyFill="1" applyBorder="1" applyAlignment="1">
      <alignment horizontal="right" vertical="center" wrapText="1"/>
    </xf>
    <xf numFmtId="3" fontId="13" fillId="4" borderId="2" xfId="0" applyNumberFormat="1" applyFont="1" applyFill="1" applyBorder="1" applyAlignment="1">
      <alignment horizontal="right" vertical="center" wrapText="1"/>
    </xf>
    <xf numFmtId="3" fontId="11" fillId="4" borderId="2" xfId="0" applyNumberFormat="1" applyFont="1" applyFill="1" applyBorder="1" applyAlignment="1">
      <alignment horizontal="right" vertical="center" wrapText="1"/>
    </xf>
    <xf numFmtId="3" fontId="11" fillId="4" borderId="41" xfId="0" applyNumberFormat="1" applyFont="1" applyFill="1" applyBorder="1" applyAlignment="1">
      <alignment horizontal="right" vertical="center" wrapText="1"/>
    </xf>
    <xf numFmtId="0" fontId="42" fillId="0" borderId="5" xfId="0" applyFont="1" applyBorder="1"/>
    <xf numFmtId="0" fontId="42" fillId="0" borderId="0" xfId="0" applyFont="1"/>
    <xf numFmtId="3" fontId="15" fillId="2" borderId="26" xfId="0" applyNumberFormat="1" applyFont="1" applyFill="1" applyBorder="1" applyAlignment="1">
      <alignment horizontal="right" vertical="center" wrapText="1"/>
    </xf>
    <xf numFmtId="49" fontId="20" fillId="2" borderId="19" xfId="0" applyNumberFormat="1" applyFont="1" applyFill="1" applyBorder="1" applyAlignment="1">
      <alignment horizontal="center" vertical="center" wrapText="1"/>
    </xf>
    <xf numFmtId="166" fontId="13" fillId="2" borderId="2" xfId="0" applyNumberFormat="1" applyFont="1" applyFill="1" applyBorder="1" applyAlignment="1">
      <alignment horizontal="center" vertical="center" wrapText="1"/>
    </xf>
    <xf numFmtId="166" fontId="13" fillId="2" borderId="2" xfId="0" applyNumberFormat="1" applyFont="1" applyFill="1" applyBorder="1" applyAlignment="1">
      <alignment horizontal="center" vertical="center" wrapText="1" shrinkToFit="1"/>
    </xf>
    <xf numFmtId="0" fontId="14" fillId="2" borderId="2" xfId="0" applyFont="1" applyFill="1" applyBorder="1" applyAlignment="1">
      <alignment horizontal="center" vertical="center" wrapText="1"/>
    </xf>
    <xf numFmtId="3" fontId="11" fillId="2" borderId="58" xfId="1" applyNumberFormat="1" applyFill="1" applyBorder="1" applyAlignment="1">
      <alignment horizontal="right" vertical="center" wrapText="1"/>
    </xf>
    <xf numFmtId="49" fontId="11" fillId="2" borderId="4" xfId="0" applyNumberFormat="1" applyFont="1" applyFill="1" applyBorder="1" applyAlignment="1">
      <alignment horizontal="center" vertical="center" wrapText="1"/>
    </xf>
    <xf numFmtId="166" fontId="13" fillId="2" borderId="26" xfId="0" applyNumberFormat="1" applyFont="1" applyFill="1" applyBorder="1" applyAlignment="1">
      <alignment horizontal="center" vertical="center" wrapText="1"/>
    </xf>
    <xf numFmtId="166" fontId="13" fillId="2" borderId="26" xfId="0" applyNumberFormat="1" applyFont="1" applyFill="1" applyBorder="1" applyAlignment="1">
      <alignment horizontal="center" vertical="center" wrapText="1" shrinkToFit="1"/>
    </xf>
    <xf numFmtId="0" fontId="14" fillId="2" borderId="26" xfId="0" applyFont="1" applyFill="1" applyBorder="1" applyAlignment="1">
      <alignment horizontal="center" vertical="center" wrapText="1"/>
    </xf>
    <xf numFmtId="3" fontId="13" fillId="2" borderId="31" xfId="1" applyNumberFormat="1" applyFont="1" applyFill="1" applyBorder="1" applyAlignment="1">
      <alignment horizontal="right" vertical="center" wrapText="1"/>
    </xf>
    <xf numFmtId="3" fontId="11" fillId="2" borderId="41" xfId="0" applyNumberFormat="1" applyFont="1" applyFill="1" applyBorder="1" applyAlignment="1">
      <alignment vertical="center" wrapText="1"/>
    </xf>
    <xf numFmtId="3" fontId="13" fillId="2" borderId="15" xfId="1" applyNumberFormat="1" applyFont="1" applyFill="1" applyBorder="1" applyAlignment="1">
      <alignment horizontal="right" vertical="center" wrapText="1"/>
    </xf>
    <xf numFmtId="3" fontId="11" fillId="2" borderId="60" xfId="1" applyNumberFormat="1" applyFill="1" applyBorder="1" applyAlignment="1">
      <alignment horizontal="right" vertical="center" wrapText="1"/>
    </xf>
    <xf numFmtId="3" fontId="11" fillId="2" borderId="17" xfId="1" applyNumberFormat="1" applyFill="1" applyBorder="1" applyAlignment="1">
      <alignment horizontal="right" vertical="center" wrapText="1"/>
    </xf>
    <xf numFmtId="3" fontId="13" fillId="2" borderId="30" xfId="1" applyNumberFormat="1" applyFont="1" applyFill="1" applyBorder="1" applyAlignment="1">
      <alignment horizontal="right" vertical="center" wrapText="1"/>
    </xf>
    <xf numFmtId="3" fontId="11" fillId="2" borderId="68" xfId="1" applyNumberFormat="1" applyFill="1" applyBorder="1" applyAlignment="1">
      <alignment horizontal="right" vertical="center" wrapText="1"/>
    </xf>
    <xf numFmtId="3" fontId="11" fillId="2" borderId="52" xfId="1" applyNumberFormat="1" applyFill="1" applyBorder="1" applyAlignment="1">
      <alignment horizontal="right" vertical="center" wrapText="1"/>
    </xf>
    <xf numFmtId="0" fontId="14" fillId="2" borderId="23" xfId="0" applyFont="1" applyFill="1" applyBorder="1" applyAlignment="1">
      <alignment horizontal="center" vertical="center" wrapText="1"/>
    </xf>
    <xf numFmtId="3" fontId="11" fillId="2" borderId="75" xfId="1" applyNumberFormat="1" applyFill="1" applyBorder="1" applyAlignment="1">
      <alignment horizontal="right" vertical="center" wrapText="1"/>
    </xf>
    <xf numFmtId="49" fontId="11" fillId="2" borderId="19" xfId="0" applyNumberFormat="1" applyFont="1" applyFill="1" applyBorder="1" applyAlignment="1">
      <alignment horizontal="center" vertical="center" wrapText="1"/>
    </xf>
    <xf numFmtId="0" fontId="14" fillId="2" borderId="14" xfId="0" applyFont="1" applyFill="1" applyBorder="1" applyAlignment="1">
      <alignment horizontal="center" vertical="center" wrapText="1"/>
    </xf>
    <xf numFmtId="49" fontId="13" fillId="2" borderId="16" xfId="0" applyNumberFormat="1" applyFont="1" applyFill="1" applyBorder="1" applyAlignment="1">
      <alignment horizontal="center" vertical="center" wrapText="1" shrinkToFit="1"/>
    </xf>
    <xf numFmtId="2" fontId="14" fillId="2" borderId="14" xfId="0" applyNumberFormat="1" applyFont="1" applyFill="1" applyBorder="1" applyAlignment="1">
      <alignment horizontal="center" vertical="center" wrapText="1"/>
    </xf>
    <xf numFmtId="2" fontId="14" fillId="2" borderId="18" xfId="0" applyNumberFormat="1" applyFont="1" applyFill="1" applyBorder="1" applyAlignment="1">
      <alignment horizontal="center" vertical="center" wrapText="1"/>
    </xf>
    <xf numFmtId="49" fontId="11" fillId="2" borderId="5" xfId="0" applyNumberFormat="1" applyFont="1" applyFill="1" applyBorder="1" applyAlignment="1">
      <alignment horizontal="center" vertical="center" wrapText="1"/>
    </xf>
    <xf numFmtId="49" fontId="21" fillId="0" borderId="23" xfId="0" applyNumberFormat="1" applyFont="1" applyBorder="1" applyAlignment="1">
      <alignment horizontal="center" vertical="center" wrapText="1"/>
    </xf>
    <xf numFmtId="49" fontId="21" fillId="2" borderId="13" xfId="0" applyNumberFormat="1" applyFont="1" applyFill="1" applyBorder="1" applyAlignment="1">
      <alignment horizontal="center" vertical="center" wrapText="1"/>
    </xf>
    <xf numFmtId="49" fontId="21" fillId="2" borderId="45" xfId="0" applyNumberFormat="1" applyFont="1" applyFill="1" applyBorder="1" applyAlignment="1">
      <alignment horizontal="center" vertical="center" wrapText="1" shrinkToFit="1"/>
    </xf>
    <xf numFmtId="2" fontId="48" fillId="2" borderId="13" xfId="0" applyNumberFormat="1" applyFont="1" applyFill="1" applyBorder="1" applyAlignment="1">
      <alignment horizontal="center" vertical="center" wrapText="1"/>
    </xf>
    <xf numFmtId="0" fontId="20" fillId="2" borderId="13" xfId="1" applyFont="1" applyFill="1" applyBorder="1" applyAlignment="1">
      <alignment horizontal="center" vertical="center" wrapText="1"/>
    </xf>
    <xf numFmtId="3" fontId="21" fillId="2" borderId="15" xfId="1" applyNumberFormat="1" applyFont="1" applyFill="1" applyBorder="1" applyAlignment="1">
      <alignment horizontal="right" vertical="center" wrapText="1"/>
    </xf>
    <xf numFmtId="3" fontId="20" fillId="2" borderId="60" xfId="1" applyNumberFormat="1" applyFont="1" applyFill="1" applyBorder="1" applyAlignment="1">
      <alignment horizontal="right" vertical="center" wrapText="1"/>
    </xf>
    <xf numFmtId="3" fontId="20" fillId="2" borderId="17" xfId="1" applyNumberFormat="1" applyFont="1" applyFill="1" applyBorder="1" applyAlignment="1">
      <alignment horizontal="right" vertical="center" wrapText="1"/>
    </xf>
    <xf numFmtId="3" fontId="20" fillId="2" borderId="60" xfId="0" applyNumberFormat="1" applyFont="1" applyFill="1" applyBorder="1" applyAlignment="1">
      <alignment horizontal="right" vertical="center" wrapText="1"/>
    </xf>
    <xf numFmtId="3" fontId="20" fillId="2" borderId="61" xfId="0" applyNumberFormat="1" applyFont="1" applyFill="1" applyBorder="1" applyAlignment="1">
      <alignment horizontal="right" vertical="center" wrapText="1"/>
    </xf>
    <xf numFmtId="3" fontId="20" fillId="2" borderId="45" xfId="0" applyNumberFormat="1" applyFont="1" applyFill="1" applyBorder="1" applyAlignment="1">
      <alignment horizontal="right" vertical="center" wrapText="1"/>
    </xf>
    <xf numFmtId="3" fontId="20" fillId="2" borderId="13" xfId="0" applyNumberFormat="1" applyFont="1" applyFill="1" applyBorder="1" applyAlignment="1">
      <alignment horizontal="right" vertical="center" wrapText="1"/>
    </xf>
    <xf numFmtId="3" fontId="21" fillId="2" borderId="13" xfId="0" applyNumberFormat="1" applyFont="1" applyFill="1" applyBorder="1" applyAlignment="1">
      <alignment horizontal="right" vertical="center" wrapText="1"/>
    </xf>
    <xf numFmtId="3" fontId="20" fillId="2" borderId="48" xfId="0" applyNumberFormat="1" applyFont="1" applyFill="1" applyBorder="1" applyAlignment="1">
      <alignment horizontal="right" vertical="center" wrapText="1"/>
    </xf>
    <xf numFmtId="3" fontId="20" fillId="2" borderId="54" xfId="0" applyNumberFormat="1" applyFont="1" applyFill="1" applyBorder="1" applyAlignment="1">
      <alignment horizontal="right" vertical="center" wrapText="1"/>
    </xf>
    <xf numFmtId="3" fontId="20" fillId="2" borderId="19" xfId="0" applyNumberFormat="1" applyFont="1" applyFill="1" applyBorder="1" applyAlignment="1">
      <alignment horizontal="right" vertical="center" wrapText="1"/>
    </xf>
    <xf numFmtId="49" fontId="20" fillId="2" borderId="15" xfId="0" applyNumberFormat="1" applyFont="1" applyFill="1" applyBorder="1" applyAlignment="1">
      <alignment horizontal="center" vertical="center" wrapText="1"/>
    </xf>
    <xf numFmtId="2" fontId="14" fillId="2" borderId="23" xfId="0" applyNumberFormat="1" applyFont="1" applyFill="1" applyBorder="1" applyAlignment="1">
      <alignment horizontal="center" vertical="center" wrapText="1"/>
    </xf>
    <xf numFmtId="3" fontId="21" fillId="3" borderId="14" xfId="0" applyNumberFormat="1" applyFont="1" applyFill="1" applyBorder="1" applyAlignment="1">
      <alignment horizontal="right" vertical="center" wrapText="1"/>
    </xf>
    <xf numFmtId="2" fontId="14" fillId="2" borderId="26" xfId="0" applyNumberFormat="1" applyFont="1" applyFill="1" applyBorder="1" applyAlignment="1">
      <alignment horizontal="center" vertical="center" wrapText="1"/>
    </xf>
    <xf numFmtId="0" fontId="28" fillId="2" borderId="0" xfId="0" applyFont="1" applyFill="1" applyAlignment="1">
      <alignment horizontal="center" wrapText="1"/>
    </xf>
    <xf numFmtId="0" fontId="28" fillId="2" borderId="26" xfId="0" applyFont="1" applyFill="1" applyBorder="1" applyAlignment="1">
      <alignment horizontal="center" wrapText="1"/>
    </xf>
    <xf numFmtId="49" fontId="16" fillId="2" borderId="26" xfId="0" applyNumberFormat="1" applyFont="1" applyFill="1" applyBorder="1" applyAlignment="1">
      <alignment horizontal="center" vertical="center" wrapText="1"/>
    </xf>
    <xf numFmtId="49" fontId="16" fillId="2" borderId="26" xfId="0" applyNumberFormat="1" applyFont="1" applyFill="1" applyBorder="1" applyAlignment="1">
      <alignment horizontal="center" vertical="center" wrapText="1" shrinkToFit="1"/>
    </xf>
    <xf numFmtId="2" fontId="47" fillId="2" borderId="26" xfId="0" applyNumberFormat="1" applyFont="1" applyFill="1" applyBorder="1" applyAlignment="1">
      <alignment horizontal="center" vertical="center" wrapText="1"/>
    </xf>
    <xf numFmtId="0" fontId="15" fillId="2" borderId="27" xfId="1" applyFont="1" applyFill="1" applyBorder="1" applyAlignment="1">
      <alignment horizontal="center" vertical="center" wrapText="1"/>
    </xf>
    <xf numFmtId="3" fontId="16" fillId="2" borderId="26" xfId="1" applyNumberFormat="1" applyFont="1" applyFill="1" applyBorder="1" applyAlignment="1">
      <alignment vertical="center" wrapText="1"/>
    </xf>
    <xf numFmtId="3" fontId="16" fillId="2" borderId="26" xfId="1" applyNumberFormat="1" applyFont="1" applyFill="1" applyBorder="1" applyAlignment="1">
      <alignment horizontal="right" vertical="center" wrapText="1"/>
    </xf>
    <xf numFmtId="3" fontId="15" fillId="2" borderId="47" xfId="1" applyNumberFormat="1" applyFont="1" applyFill="1" applyBorder="1" applyAlignment="1">
      <alignment horizontal="right" vertical="center" wrapText="1"/>
    </xf>
    <xf numFmtId="3" fontId="15" fillId="2" borderId="41" xfId="1" applyNumberFormat="1" applyFont="1" applyFill="1" applyBorder="1" applyAlignment="1">
      <alignment horizontal="right" vertical="center" wrapText="1"/>
    </xf>
    <xf numFmtId="3" fontId="15" fillId="2" borderId="42" xfId="0" applyNumberFormat="1" applyFont="1" applyFill="1" applyBorder="1" applyAlignment="1">
      <alignment horizontal="right" vertical="center" wrapText="1"/>
    </xf>
    <xf numFmtId="3" fontId="15" fillId="2" borderId="41" xfId="0" applyNumberFormat="1" applyFont="1" applyFill="1" applyBorder="1" applyAlignment="1">
      <alignment horizontal="right" vertical="center" wrapText="1"/>
    </xf>
    <xf numFmtId="3" fontId="15" fillId="2" borderId="37" xfId="0" applyNumberFormat="1" applyFont="1" applyFill="1" applyBorder="1" applyAlignment="1">
      <alignment horizontal="right" vertical="center" wrapText="1"/>
    </xf>
    <xf numFmtId="0" fontId="15" fillId="2" borderId="26" xfId="1" applyFont="1" applyFill="1" applyBorder="1" applyAlignment="1">
      <alignment horizontal="center" vertical="center" wrapText="1"/>
    </xf>
    <xf numFmtId="3" fontId="16" fillId="3" borderId="23" xfId="0" applyNumberFormat="1" applyFont="1" applyFill="1" applyBorder="1" applyAlignment="1">
      <alignment horizontal="right" vertical="center" wrapText="1"/>
    </xf>
    <xf numFmtId="49" fontId="13" fillId="2" borderId="25" xfId="0" applyNumberFormat="1" applyFont="1" applyFill="1" applyBorder="1" applyAlignment="1">
      <alignment horizontal="center" vertical="center" wrapText="1" shrinkToFit="1"/>
    </xf>
    <xf numFmtId="49" fontId="14" fillId="2" borderId="25" xfId="0" applyNumberFormat="1" applyFont="1" applyFill="1" applyBorder="1" applyAlignment="1">
      <alignment horizontal="center" vertical="center"/>
    </xf>
    <xf numFmtId="49" fontId="21" fillId="2" borderId="23" xfId="0" applyNumberFormat="1" applyFont="1" applyFill="1" applyBorder="1" applyAlignment="1">
      <alignment horizontal="center" vertical="center" wrapText="1"/>
    </xf>
    <xf numFmtId="49" fontId="21" fillId="2" borderId="25" xfId="0" applyNumberFormat="1" applyFont="1" applyFill="1" applyBorder="1" applyAlignment="1">
      <alignment horizontal="center" vertical="center" wrapText="1" shrinkToFit="1"/>
    </xf>
    <xf numFmtId="49" fontId="48" fillId="2" borderId="25" xfId="0" applyNumberFormat="1" applyFont="1" applyFill="1" applyBorder="1" applyAlignment="1">
      <alignment horizontal="center" vertical="center"/>
    </xf>
    <xf numFmtId="3" fontId="20" fillId="2" borderId="58" xfId="1" applyNumberFormat="1" applyFont="1" applyFill="1" applyBorder="1" applyAlignment="1">
      <alignment horizontal="right" vertical="center" wrapText="1"/>
    </xf>
    <xf numFmtId="3" fontId="20" fillId="2" borderId="75" xfId="1" applyNumberFormat="1" applyFont="1" applyFill="1" applyBorder="1" applyAlignment="1">
      <alignment horizontal="right" vertical="center" wrapText="1"/>
    </xf>
    <xf numFmtId="3" fontId="20" fillId="2" borderId="58" xfId="0" applyNumberFormat="1" applyFont="1" applyFill="1" applyBorder="1" applyAlignment="1">
      <alignment horizontal="right" vertical="center" wrapText="1"/>
    </xf>
    <xf numFmtId="3" fontId="20" fillId="2" borderId="51" xfId="0" applyNumberFormat="1" applyFont="1" applyFill="1" applyBorder="1" applyAlignment="1">
      <alignment horizontal="right" vertical="center" wrapText="1"/>
    </xf>
    <xf numFmtId="3" fontId="20" fillId="2" borderId="23" xfId="0" applyNumberFormat="1" applyFont="1" applyFill="1" applyBorder="1" applyAlignment="1">
      <alignment horizontal="right" vertical="center" wrapText="1"/>
    </xf>
    <xf numFmtId="3" fontId="21" fillId="2" borderId="23" xfId="0" applyNumberFormat="1" applyFont="1" applyFill="1" applyBorder="1" applyAlignment="1">
      <alignment horizontal="right" vertical="center" wrapText="1"/>
    </xf>
    <xf numFmtId="3" fontId="20" fillId="2" borderId="21" xfId="0" applyNumberFormat="1" applyFont="1" applyFill="1" applyBorder="1" applyAlignment="1">
      <alignment horizontal="right" vertical="center" wrapText="1"/>
    </xf>
    <xf numFmtId="3" fontId="20" fillId="2" borderId="75" xfId="0" applyNumberFormat="1" applyFont="1" applyFill="1" applyBorder="1" applyAlignment="1">
      <alignment horizontal="right" vertical="center" wrapText="1"/>
    </xf>
    <xf numFmtId="3" fontId="20" fillId="2" borderId="44" xfId="0" applyNumberFormat="1" applyFont="1" applyFill="1" applyBorder="1" applyAlignment="1">
      <alignment horizontal="right" vertical="center" wrapText="1"/>
    </xf>
    <xf numFmtId="3" fontId="20" fillId="2" borderId="27" xfId="0" applyNumberFormat="1" applyFont="1" applyFill="1" applyBorder="1" applyAlignment="1">
      <alignment horizontal="right" vertical="center" wrapText="1"/>
    </xf>
    <xf numFmtId="49" fontId="20" fillId="2" borderId="25" xfId="0" applyNumberFormat="1" applyFont="1" applyFill="1" applyBorder="1" applyAlignment="1">
      <alignment horizontal="center" vertical="center" wrapText="1"/>
    </xf>
    <xf numFmtId="0" fontId="20" fillId="2" borderId="26" xfId="1" applyFont="1" applyFill="1" applyBorder="1" applyAlignment="1">
      <alignment horizontal="center" vertical="center" wrapText="1"/>
    </xf>
    <xf numFmtId="3" fontId="20" fillId="2" borderId="26" xfId="0" applyNumberFormat="1" applyFont="1" applyFill="1" applyBorder="1" applyAlignment="1">
      <alignment horizontal="right" vertical="center" wrapText="1"/>
    </xf>
    <xf numFmtId="49" fontId="21" fillId="0" borderId="14" xfId="0" applyNumberFormat="1" applyFont="1" applyBorder="1" applyAlignment="1">
      <alignment horizontal="center" vertical="center" wrapText="1"/>
    </xf>
    <xf numFmtId="49" fontId="14" fillId="2" borderId="25" xfId="0" applyNumberFormat="1" applyFont="1" applyFill="1" applyBorder="1" applyAlignment="1">
      <alignment horizontal="center" vertical="center" wrapText="1"/>
    </xf>
    <xf numFmtId="49" fontId="47" fillId="2" borderId="25" xfId="0" applyNumberFormat="1" applyFont="1" applyFill="1" applyBorder="1" applyAlignment="1">
      <alignment horizontal="center" vertical="center" wrapText="1"/>
    </xf>
    <xf numFmtId="3" fontId="16" fillId="2" borderId="23" xfId="1" applyNumberFormat="1" applyFont="1" applyFill="1" applyBorder="1" applyAlignment="1">
      <alignment vertical="center" wrapText="1"/>
    </xf>
    <xf numFmtId="3" fontId="16" fillId="2" borderId="23" xfId="1" applyNumberFormat="1" applyFont="1" applyFill="1" applyBorder="1" applyAlignment="1">
      <alignment horizontal="right" vertical="center" wrapText="1"/>
    </xf>
    <xf numFmtId="3" fontId="15" fillId="2" borderId="58" xfId="1" applyNumberFormat="1" applyFont="1" applyFill="1" applyBorder="1" applyAlignment="1">
      <alignment horizontal="right" vertical="center" wrapText="1"/>
    </xf>
    <xf numFmtId="3" fontId="15" fillId="2" borderId="75" xfId="1" applyNumberFormat="1" applyFont="1" applyFill="1" applyBorder="1" applyAlignment="1">
      <alignment horizontal="right" vertical="center" wrapText="1"/>
    </xf>
    <xf numFmtId="3" fontId="15" fillId="2" borderId="51" xfId="0" applyNumberFormat="1" applyFont="1" applyFill="1" applyBorder="1" applyAlignment="1">
      <alignment horizontal="right" vertical="center" wrapText="1"/>
    </xf>
    <xf numFmtId="3" fontId="15" fillId="2" borderId="44" xfId="0" applyNumberFormat="1" applyFont="1" applyFill="1" applyBorder="1" applyAlignment="1">
      <alignment horizontal="right" vertical="center" wrapText="1"/>
    </xf>
    <xf numFmtId="3" fontId="15" fillId="2" borderId="27" xfId="0" applyNumberFormat="1" applyFont="1" applyFill="1" applyBorder="1" applyAlignment="1">
      <alignment horizontal="right" vertical="center" wrapText="1"/>
    </xf>
    <xf numFmtId="49" fontId="15" fillId="2" borderId="25" xfId="0" applyNumberFormat="1" applyFont="1" applyFill="1" applyBorder="1" applyAlignment="1">
      <alignment horizontal="center" vertical="center" wrapText="1"/>
    </xf>
    <xf numFmtId="0" fontId="15" fillId="2" borderId="25" xfId="0" applyFont="1" applyFill="1" applyBorder="1" applyAlignment="1">
      <alignment horizontal="center" vertical="center" wrapText="1"/>
    </xf>
    <xf numFmtId="49" fontId="14" fillId="2" borderId="15" xfId="0" applyNumberFormat="1" applyFont="1" applyFill="1" applyBorder="1" applyAlignment="1">
      <alignment horizontal="center" vertical="center" wrapText="1"/>
    </xf>
    <xf numFmtId="49" fontId="18" fillId="2" borderId="23" xfId="0" applyNumberFormat="1" applyFont="1" applyFill="1" applyBorder="1" applyAlignment="1">
      <alignment horizontal="center" vertical="center" wrapText="1" shrinkToFit="1"/>
    </xf>
    <xf numFmtId="3" fontId="11" fillId="4" borderId="62" xfId="0" applyNumberFormat="1" applyFont="1" applyFill="1" applyBorder="1" applyAlignment="1">
      <alignment horizontal="right" vertical="center" wrapText="1"/>
    </xf>
    <xf numFmtId="3" fontId="11" fillId="4" borderId="53" xfId="0" applyNumberFormat="1" applyFont="1" applyFill="1" applyBorder="1" applyAlignment="1">
      <alignment horizontal="right" vertical="center" wrapText="1"/>
    </xf>
    <xf numFmtId="3" fontId="11" fillId="4" borderId="63" xfId="0" applyNumberFormat="1" applyFont="1" applyFill="1" applyBorder="1" applyAlignment="1">
      <alignment horizontal="right" vertical="center" wrapText="1"/>
    </xf>
    <xf numFmtId="3" fontId="11" fillId="4" borderId="9" xfId="0" applyNumberFormat="1" applyFont="1" applyFill="1" applyBorder="1" applyAlignment="1">
      <alignment horizontal="right" vertical="center" wrapText="1"/>
    </xf>
    <xf numFmtId="3" fontId="11" fillId="4" borderId="20" xfId="0" applyNumberFormat="1" applyFont="1" applyFill="1" applyBorder="1" applyAlignment="1">
      <alignment horizontal="right" vertical="center" wrapText="1"/>
    </xf>
    <xf numFmtId="3" fontId="18" fillId="2" borderId="15" xfId="1" applyNumberFormat="1" applyFont="1" applyFill="1" applyBorder="1" applyAlignment="1">
      <alignment vertical="center"/>
    </xf>
    <xf numFmtId="3" fontId="17" fillId="2" borderId="60" xfId="1" applyNumberFormat="1" applyFont="1" applyFill="1" applyBorder="1" applyAlignment="1">
      <alignment vertical="center"/>
    </xf>
    <xf numFmtId="3" fontId="17" fillId="2" borderId="17" xfId="1" applyNumberFormat="1" applyFont="1" applyFill="1" applyBorder="1" applyAlignment="1">
      <alignment vertical="center"/>
    </xf>
    <xf numFmtId="3" fontId="17" fillId="2" borderId="54" xfId="0" applyNumberFormat="1" applyFont="1" applyFill="1" applyBorder="1" applyAlignment="1">
      <alignment vertical="center"/>
    </xf>
    <xf numFmtId="3" fontId="17" fillId="2" borderId="61" xfId="0" applyNumberFormat="1" applyFont="1" applyFill="1" applyBorder="1" applyAlignment="1">
      <alignment vertical="center"/>
    </xf>
    <xf numFmtId="3" fontId="18" fillId="2" borderId="45" xfId="0" applyNumberFormat="1" applyFont="1" applyFill="1" applyBorder="1" applyAlignment="1">
      <alignment horizontal="right" vertical="center"/>
    </xf>
    <xf numFmtId="3" fontId="17" fillId="2" borderId="19" xfId="0" applyNumberFormat="1" applyFont="1" applyFill="1" applyBorder="1" applyAlignment="1">
      <alignment horizontal="right" vertical="center"/>
    </xf>
    <xf numFmtId="3" fontId="13" fillId="2" borderId="6" xfId="0" applyNumberFormat="1" applyFont="1" applyFill="1" applyBorder="1" applyAlignment="1">
      <alignment horizontal="right" vertical="center" wrapText="1"/>
    </xf>
    <xf numFmtId="3" fontId="36" fillId="2" borderId="45" xfId="0" applyNumberFormat="1" applyFont="1" applyFill="1" applyBorder="1" applyAlignment="1">
      <alignment vertical="center" wrapText="1"/>
    </xf>
    <xf numFmtId="3" fontId="17" fillId="2" borderId="45" xfId="0" applyNumberFormat="1" applyFont="1" applyFill="1" applyBorder="1" applyAlignment="1">
      <alignment horizontal="center" vertical="center" wrapText="1"/>
    </xf>
    <xf numFmtId="0" fontId="19" fillId="2" borderId="14" xfId="0" applyFont="1" applyFill="1" applyBorder="1" applyAlignment="1">
      <alignment horizontal="center" vertical="center" wrapText="1"/>
    </xf>
    <xf numFmtId="3" fontId="15" fillId="2" borderId="69" xfId="0" applyNumberFormat="1" applyFont="1" applyFill="1" applyBorder="1" applyAlignment="1">
      <alignment horizontal="right" vertical="center"/>
    </xf>
    <xf numFmtId="3" fontId="15" fillId="2" borderId="16" xfId="0" applyNumberFormat="1" applyFont="1" applyFill="1" applyBorder="1" applyAlignment="1">
      <alignment horizontal="right" vertical="center"/>
    </xf>
    <xf numFmtId="0" fontId="11" fillId="2" borderId="26" xfId="0" applyFont="1" applyFill="1" applyBorder="1" applyAlignment="1">
      <alignment horizontal="center" wrapText="1"/>
    </xf>
    <xf numFmtId="3" fontId="13" fillId="5" borderId="3" xfId="1" applyNumberFormat="1" applyFont="1" applyFill="1" applyBorder="1" applyAlignment="1">
      <alignment vertical="center" wrapText="1"/>
    </xf>
    <xf numFmtId="3" fontId="13" fillId="0" borderId="25" xfId="1" applyNumberFormat="1" applyFont="1" applyBorder="1" applyAlignment="1">
      <alignment vertical="center" wrapText="1"/>
    </xf>
    <xf numFmtId="3" fontId="11" fillId="0" borderId="58" xfId="1" applyNumberFormat="1" applyBorder="1" applyAlignment="1">
      <alignment vertical="center" wrapText="1"/>
    </xf>
    <xf numFmtId="3" fontId="11" fillId="0" borderId="75" xfId="1" applyNumberFormat="1" applyBorder="1" applyAlignment="1">
      <alignment vertical="center" wrapText="1"/>
    </xf>
    <xf numFmtId="3" fontId="11" fillId="0" borderId="36" xfId="0" applyNumberFormat="1" applyFont="1" applyBorder="1" applyAlignment="1">
      <alignment vertical="center" wrapText="1"/>
    </xf>
    <xf numFmtId="3" fontId="11" fillId="0" borderId="42" xfId="0" applyNumberFormat="1" applyFont="1" applyBorder="1" applyAlignment="1">
      <alignment vertical="center" wrapText="1"/>
    </xf>
    <xf numFmtId="3" fontId="11" fillId="0" borderId="23" xfId="0" applyNumberFormat="1" applyFont="1" applyBorder="1" applyAlignment="1">
      <alignment horizontal="right" vertical="center" wrapText="1"/>
    </xf>
    <xf numFmtId="3" fontId="13" fillId="0" borderId="30" xfId="1" applyNumberFormat="1" applyFont="1" applyBorder="1" applyAlignment="1">
      <alignment vertical="center" wrapText="1"/>
    </xf>
    <xf numFmtId="3" fontId="11" fillId="0" borderId="68" xfId="1" applyNumberFormat="1" applyBorder="1" applyAlignment="1">
      <alignment vertical="center" wrapText="1"/>
    </xf>
    <xf numFmtId="3" fontId="11" fillId="0" borderId="52" xfId="1" applyNumberFormat="1" applyBorder="1" applyAlignment="1">
      <alignment vertical="center" wrapText="1"/>
    </xf>
    <xf numFmtId="3" fontId="11" fillId="0" borderId="72" xfId="0" applyNumberFormat="1" applyFont="1" applyBorder="1" applyAlignment="1">
      <alignment vertical="center" wrapText="1"/>
    </xf>
    <xf numFmtId="3" fontId="11" fillId="0" borderId="74" xfId="0" applyNumberFormat="1" applyFont="1" applyBorder="1" applyAlignment="1">
      <alignment vertical="center" wrapText="1"/>
    </xf>
    <xf numFmtId="3" fontId="13" fillId="0" borderId="12" xfId="1" applyNumberFormat="1" applyFont="1" applyBorder="1" applyAlignment="1">
      <alignment vertical="center" wrapText="1"/>
    </xf>
    <xf numFmtId="3" fontId="11" fillId="0" borderId="55" xfId="1" applyNumberFormat="1" applyBorder="1" applyAlignment="1">
      <alignment vertical="center" wrapText="1"/>
    </xf>
    <xf numFmtId="3" fontId="11" fillId="0" borderId="57" xfId="1" applyNumberFormat="1" applyBorder="1" applyAlignment="1">
      <alignment vertical="center" wrapText="1"/>
    </xf>
    <xf numFmtId="3" fontId="11" fillId="0" borderId="38" xfId="0" applyNumberFormat="1" applyFont="1" applyBorder="1" applyAlignment="1">
      <alignment vertical="center" wrapText="1"/>
    </xf>
    <xf numFmtId="3" fontId="11" fillId="0" borderId="39" xfId="0" applyNumberFormat="1" applyFont="1" applyBorder="1" applyAlignment="1">
      <alignment vertical="center" wrapText="1"/>
    </xf>
    <xf numFmtId="3" fontId="11" fillId="0" borderId="18" xfId="0" applyNumberFormat="1" applyFont="1" applyBorder="1" applyAlignment="1">
      <alignment horizontal="right" vertical="center" wrapText="1"/>
    </xf>
    <xf numFmtId="3" fontId="13" fillId="0" borderId="25" xfId="1" applyNumberFormat="1" applyFont="1" applyBorder="1" applyAlignment="1">
      <alignment horizontal="right" vertical="center" wrapText="1"/>
    </xf>
    <xf numFmtId="3" fontId="11" fillId="0" borderId="58" xfId="1" applyNumberFormat="1" applyBorder="1" applyAlignment="1">
      <alignment horizontal="right" vertical="center" wrapText="1"/>
    </xf>
    <xf numFmtId="3" fontId="11" fillId="0" borderId="46" xfId="1" applyNumberFormat="1" applyBorder="1" applyAlignment="1">
      <alignment vertical="center" wrapText="1"/>
    </xf>
    <xf numFmtId="3" fontId="11" fillId="0" borderId="44" xfId="0" applyNumberFormat="1" applyFont="1" applyBorder="1" applyAlignment="1">
      <alignment horizontal="right" vertical="center" wrapText="1"/>
    </xf>
    <xf numFmtId="3" fontId="11" fillId="0" borderId="51" xfId="0" applyNumberFormat="1" applyFont="1" applyBorder="1" applyAlignment="1">
      <alignment horizontal="right" vertical="center" wrapText="1"/>
    </xf>
    <xf numFmtId="3" fontId="13" fillId="0" borderId="31" xfId="1" applyNumberFormat="1" applyFont="1" applyBorder="1" applyAlignment="1">
      <alignment horizontal="right" vertical="center" wrapText="1"/>
    </xf>
    <xf numFmtId="3" fontId="11" fillId="0" borderId="47" xfId="1" applyNumberFormat="1" applyBorder="1" applyAlignment="1">
      <alignment horizontal="right" vertical="center" wrapText="1"/>
    </xf>
    <xf numFmtId="3" fontId="11" fillId="0" borderId="75" xfId="1" applyNumberFormat="1" applyBorder="1" applyAlignment="1">
      <alignment horizontal="right" vertical="center" wrapText="1"/>
    </xf>
    <xf numFmtId="3" fontId="11" fillId="0" borderId="36" xfId="0" applyNumberFormat="1" applyFont="1" applyBorder="1" applyAlignment="1">
      <alignment horizontal="right" vertical="center" wrapText="1"/>
    </xf>
    <xf numFmtId="3" fontId="11" fillId="0" borderId="37" xfId="0" applyNumberFormat="1" applyFont="1" applyBorder="1" applyAlignment="1">
      <alignment horizontal="right" vertical="center" wrapText="1"/>
    </xf>
    <xf numFmtId="3" fontId="11" fillId="0" borderId="26" xfId="0" applyNumberFormat="1" applyFont="1" applyBorder="1" applyAlignment="1">
      <alignment horizontal="right" vertical="center" wrapText="1"/>
    </xf>
    <xf numFmtId="3" fontId="13" fillId="0" borderId="23" xfId="1" applyNumberFormat="1" applyFont="1" applyBorder="1" applyAlignment="1">
      <alignment horizontal="right" vertical="center" wrapText="1"/>
    </xf>
    <xf numFmtId="3" fontId="13" fillId="0" borderId="26" xfId="1" applyNumberFormat="1" applyFont="1" applyBorder="1" applyAlignment="1">
      <alignment horizontal="right" vertical="center" wrapText="1"/>
    </xf>
    <xf numFmtId="3" fontId="11" fillId="0" borderId="41" xfId="1" applyNumberFormat="1" applyBorder="1" applyAlignment="1">
      <alignment horizontal="right" vertical="center" wrapText="1"/>
    </xf>
    <xf numFmtId="3" fontId="11" fillId="0" borderId="42" xfId="0" applyNumberFormat="1" applyFont="1" applyBorder="1" applyAlignment="1">
      <alignment horizontal="right" vertical="center" wrapText="1"/>
    </xf>
    <xf numFmtId="3" fontId="36" fillId="0" borderId="15" xfId="1" applyNumberFormat="1" applyFont="1" applyBorder="1" applyAlignment="1">
      <alignment horizontal="right" vertical="center" wrapText="1"/>
    </xf>
    <xf numFmtId="3" fontId="19" fillId="0" borderId="60" xfId="1" applyNumberFormat="1" applyFont="1" applyBorder="1" applyAlignment="1">
      <alignment horizontal="right" vertical="center" wrapText="1"/>
    </xf>
    <xf numFmtId="3" fontId="19" fillId="0" borderId="17" xfId="1" applyNumberFormat="1" applyFont="1" applyBorder="1" applyAlignment="1">
      <alignment horizontal="right" vertical="center" wrapText="1"/>
    </xf>
    <xf numFmtId="3" fontId="19" fillId="0" borderId="54" xfId="0" applyNumberFormat="1" applyFont="1" applyBorder="1" applyAlignment="1">
      <alignment horizontal="right" vertical="center" wrapText="1"/>
    </xf>
    <xf numFmtId="3" fontId="19" fillId="0" borderId="61" xfId="0" applyNumberFormat="1" applyFont="1" applyBorder="1" applyAlignment="1">
      <alignment horizontal="right" vertical="center" wrapText="1"/>
    </xf>
    <xf numFmtId="3" fontId="19" fillId="0" borderId="13" xfId="0" applyNumberFormat="1" applyFont="1" applyBorder="1" applyAlignment="1">
      <alignment horizontal="right" vertical="center" wrapText="1"/>
    </xf>
    <xf numFmtId="3" fontId="13" fillId="0" borderId="12" xfId="1" applyNumberFormat="1" applyFont="1" applyBorder="1" applyAlignment="1">
      <alignment horizontal="right" vertical="center" wrapText="1"/>
    </xf>
    <xf numFmtId="3" fontId="11" fillId="0" borderId="55" xfId="1" applyNumberFormat="1" applyBorder="1" applyAlignment="1">
      <alignment horizontal="right" vertical="center" wrapText="1"/>
    </xf>
    <xf numFmtId="3" fontId="11" fillId="0" borderId="57" xfId="1" applyNumberFormat="1" applyBorder="1" applyAlignment="1">
      <alignment horizontal="right" vertical="center" wrapText="1"/>
    </xf>
    <xf numFmtId="3" fontId="11" fillId="0" borderId="38" xfId="0" applyNumberFormat="1" applyFont="1" applyBorder="1" applyAlignment="1">
      <alignment horizontal="right" vertical="center" wrapText="1"/>
    </xf>
    <xf numFmtId="3" fontId="11" fillId="0" borderId="39" xfId="0" applyNumberFormat="1" applyFont="1" applyBorder="1" applyAlignment="1">
      <alignment horizontal="right" vertical="center" wrapText="1"/>
    </xf>
    <xf numFmtId="3" fontId="18" fillId="0" borderId="12" xfId="1" applyNumberFormat="1" applyFont="1" applyBorder="1" applyAlignment="1">
      <alignment horizontal="right" vertical="center" wrapText="1"/>
    </xf>
    <xf numFmtId="3" fontId="17" fillId="0" borderId="55" xfId="1" applyNumberFormat="1" applyFont="1" applyBorder="1" applyAlignment="1">
      <alignment horizontal="right" vertical="center" wrapText="1"/>
    </xf>
    <xf numFmtId="3" fontId="17" fillId="0" borderId="57" xfId="1" applyNumberFormat="1" applyFont="1" applyBorder="1" applyAlignment="1">
      <alignment horizontal="right" vertical="center" wrapText="1"/>
    </xf>
    <xf numFmtId="3" fontId="17" fillId="0" borderId="38" xfId="0" applyNumberFormat="1" applyFont="1" applyBorder="1" applyAlignment="1">
      <alignment horizontal="right" vertical="center" wrapText="1"/>
    </xf>
    <xf numFmtId="3" fontId="17" fillId="0" borderId="39" xfId="0" applyNumberFormat="1" applyFont="1" applyBorder="1" applyAlignment="1">
      <alignment horizontal="right" vertical="center" wrapText="1"/>
    </xf>
    <xf numFmtId="3" fontId="17" fillId="0" borderId="18" xfId="0" applyNumberFormat="1" applyFont="1" applyBorder="1" applyAlignment="1">
      <alignment horizontal="right" vertical="center" wrapText="1"/>
    </xf>
    <xf numFmtId="3" fontId="13" fillId="0" borderId="13" xfId="1" applyNumberFormat="1" applyFont="1" applyBorder="1" applyAlignment="1">
      <alignment horizontal="right" vertical="center" wrapText="1"/>
    </xf>
    <xf numFmtId="3" fontId="11" fillId="0" borderId="60" xfId="1" applyNumberFormat="1" applyBorder="1" applyAlignment="1">
      <alignment horizontal="right" vertical="center" wrapText="1"/>
    </xf>
    <xf numFmtId="3" fontId="11" fillId="0" borderId="17" xfId="1" applyNumberFormat="1" applyBorder="1" applyAlignment="1">
      <alignment horizontal="right" vertical="center" wrapText="1"/>
    </xf>
    <xf numFmtId="3" fontId="11" fillId="0" borderId="54" xfId="0" applyNumberFormat="1" applyFont="1" applyBorder="1" applyAlignment="1">
      <alignment horizontal="right" vertical="center" wrapText="1"/>
    </xf>
    <xf numFmtId="3" fontId="11" fillId="0" borderId="61" xfId="0" applyNumberFormat="1" applyFont="1" applyBorder="1" applyAlignment="1">
      <alignment horizontal="right" vertical="center" wrapText="1"/>
    </xf>
    <xf numFmtId="3" fontId="11" fillId="0" borderId="13" xfId="0" applyNumberFormat="1" applyFont="1" applyBorder="1" applyAlignment="1">
      <alignment horizontal="right" vertical="center" wrapText="1"/>
    </xf>
    <xf numFmtId="3" fontId="13" fillId="0" borderId="30" xfId="1" applyNumberFormat="1" applyFont="1" applyBorder="1" applyAlignment="1">
      <alignment horizontal="right" vertical="center" wrapText="1"/>
    </xf>
    <xf numFmtId="3" fontId="11" fillId="0" borderId="68" xfId="1" applyNumberFormat="1" applyBorder="1" applyAlignment="1">
      <alignment horizontal="right" vertical="center" wrapText="1"/>
    </xf>
    <xf numFmtId="3" fontId="11" fillId="0" borderId="52" xfId="1" applyNumberFormat="1" applyBorder="1" applyAlignment="1">
      <alignment horizontal="right" vertical="center" wrapText="1"/>
    </xf>
    <xf numFmtId="3" fontId="11" fillId="0" borderId="72" xfId="0" applyNumberFormat="1" applyFont="1" applyBorder="1" applyAlignment="1">
      <alignment horizontal="right" vertical="center" wrapText="1"/>
    </xf>
    <xf numFmtId="3" fontId="11" fillId="0" borderId="74" xfId="0" applyNumberFormat="1" applyFont="1" applyBorder="1" applyAlignment="1">
      <alignment horizontal="right" vertical="center" wrapText="1"/>
    </xf>
    <xf numFmtId="3" fontId="11" fillId="0" borderId="15" xfId="1" applyNumberFormat="1" applyBorder="1" applyAlignment="1">
      <alignment horizontal="center" vertical="center" wrapText="1"/>
    </xf>
    <xf numFmtId="3" fontId="11" fillId="0" borderId="60" xfId="1" applyNumberFormat="1" applyBorder="1" applyAlignment="1">
      <alignment horizontal="center" vertical="center" wrapText="1"/>
    </xf>
    <xf numFmtId="3" fontId="11" fillId="0" borderId="17" xfId="1" applyNumberFormat="1" applyBorder="1" applyAlignment="1">
      <alignment horizontal="center" vertical="center" wrapText="1"/>
    </xf>
    <xf numFmtId="3" fontId="11" fillId="0" borderId="54" xfId="0" applyNumberFormat="1" applyFont="1" applyBorder="1" applyAlignment="1">
      <alignment horizontal="center" vertical="center" wrapText="1"/>
    </xf>
    <xf numFmtId="3" fontId="11" fillId="0" borderId="61" xfId="0" applyNumberFormat="1" applyFont="1" applyBorder="1" applyAlignment="1">
      <alignment horizontal="center" vertical="center" wrapText="1"/>
    </xf>
    <xf numFmtId="3" fontId="18" fillId="0" borderId="30" xfId="1" applyNumberFormat="1" applyFont="1" applyBorder="1" applyAlignment="1">
      <alignment vertical="center" wrapText="1"/>
    </xf>
    <xf numFmtId="3" fontId="17" fillId="0" borderId="68" xfId="1" applyNumberFormat="1" applyFont="1" applyBorder="1" applyAlignment="1">
      <alignment vertical="center" wrapText="1"/>
    </xf>
    <xf numFmtId="3" fontId="17" fillId="0" borderId="52" xfId="1" applyNumberFormat="1" applyFont="1" applyBorder="1" applyAlignment="1">
      <alignment vertical="center" wrapText="1"/>
    </xf>
    <xf numFmtId="3" fontId="17" fillId="0" borderId="72" xfId="0" applyNumberFormat="1" applyFont="1" applyBorder="1" applyAlignment="1">
      <alignment vertical="center" wrapText="1"/>
    </xf>
    <xf numFmtId="3" fontId="17" fillId="0" borderId="74" xfId="0" applyNumberFormat="1" applyFont="1" applyBorder="1" applyAlignment="1">
      <alignment vertical="center" wrapText="1"/>
    </xf>
    <xf numFmtId="3" fontId="17" fillId="0" borderId="14" xfId="0" applyNumberFormat="1" applyFont="1" applyBorder="1" applyAlignment="1">
      <alignment horizontal="right" vertical="center" wrapText="1"/>
    </xf>
    <xf numFmtId="3" fontId="11" fillId="0" borderId="44" xfId="0" applyNumberFormat="1" applyFont="1" applyBorder="1" applyAlignment="1">
      <alignment vertical="center" wrapText="1"/>
    </xf>
    <xf numFmtId="3" fontId="11" fillId="0" borderId="51" xfId="0" applyNumberFormat="1" applyFont="1" applyBorder="1" applyAlignment="1">
      <alignment vertical="center" wrapText="1"/>
    </xf>
    <xf numFmtId="3" fontId="11" fillId="0" borderId="58" xfId="0" applyNumberFormat="1" applyFont="1" applyBorder="1" applyAlignment="1">
      <alignment horizontal="right" vertical="center" wrapText="1"/>
    </xf>
    <xf numFmtId="3" fontId="11" fillId="0" borderId="27" xfId="0" applyNumberFormat="1" applyFont="1" applyBorder="1" applyAlignment="1">
      <alignment horizontal="right" vertical="center" wrapText="1"/>
    </xf>
    <xf numFmtId="3" fontId="11" fillId="0" borderId="47" xfId="0" applyNumberFormat="1" applyFont="1" applyBorder="1" applyAlignment="1">
      <alignment horizontal="right" vertical="center" wrapText="1"/>
    </xf>
    <xf numFmtId="3" fontId="18" fillId="0" borderId="31" xfId="1" applyNumberFormat="1" applyFont="1" applyBorder="1" applyAlignment="1">
      <alignment horizontal="right" vertical="center" wrapText="1"/>
    </xf>
    <xf numFmtId="3" fontId="17" fillId="0" borderId="47" xfId="1" applyNumberFormat="1" applyFont="1" applyBorder="1" applyAlignment="1">
      <alignment horizontal="right" vertical="center" wrapText="1"/>
    </xf>
    <xf numFmtId="3" fontId="17" fillId="0" borderId="41" xfId="1" applyNumberFormat="1" applyFont="1" applyBorder="1" applyAlignment="1">
      <alignment horizontal="right" vertical="center" wrapText="1"/>
    </xf>
    <xf numFmtId="3" fontId="17" fillId="0" borderId="47" xfId="0" applyNumberFormat="1" applyFont="1" applyBorder="1" applyAlignment="1">
      <alignment horizontal="right" vertical="center" wrapText="1"/>
    </xf>
    <xf numFmtId="3" fontId="17" fillId="0" borderId="42" xfId="0" applyNumberFormat="1" applyFont="1" applyBorder="1" applyAlignment="1">
      <alignment horizontal="right" vertical="center" wrapText="1"/>
    </xf>
    <xf numFmtId="3" fontId="17" fillId="0" borderId="26" xfId="0" applyNumberFormat="1" applyFont="1" applyBorder="1" applyAlignment="1">
      <alignment horizontal="right" vertical="center" wrapText="1"/>
    </xf>
    <xf numFmtId="3" fontId="11" fillId="0" borderId="68" xfId="0" applyNumberFormat="1" applyFont="1" applyBorder="1" applyAlignment="1">
      <alignment horizontal="right" vertical="center" wrapText="1"/>
    </xf>
    <xf numFmtId="3" fontId="36" fillId="0" borderId="12" xfId="1" applyNumberFormat="1" applyFont="1" applyBorder="1" applyAlignment="1">
      <alignment horizontal="right" vertical="center" wrapText="1"/>
    </xf>
    <xf numFmtId="3" fontId="19" fillId="0" borderId="55" xfId="1" applyNumberFormat="1" applyFont="1" applyBorder="1" applyAlignment="1">
      <alignment horizontal="right" vertical="center" wrapText="1"/>
    </xf>
    <xf numFmtId="3" fontId="19" fillId="0" borderId="57" xfId="1" applyNumberFormat="1" applyFont="1" applyBorder="1" applyAlignment="1">
      <alignment horizontal="right" vertical="center" wrapText="1"/>
    </xf>
    <xf numFmtId="3" fontId="19" fillId="0" borderId="55" xfId="0" applyNumberFormat="1" applyFont="1" applyBorder="1" applyAlignment="1">
      <alignment horizontal="right" vertical="center" wrapText="1"/>
    </xf>
    <xf numFmtId="3" fontId="19" fillId="0" borderId="1" xfId="0" applyNumberFormat="1" applyFont="1" applyBorder="1" applyAlignment="1">
      <alignment horizontal="right" vertical="center" wrapText="1"/>
    </xf>
    <xf numFmtId="3" fontId="19" fillId="0" borderId="18" xfId="0" applyNumberFormat="1" applyFont="1" applyBorder="1" applyAlignment="1">
      <alignment horizontal="right" vertical="center" wrapText="1"/>
    </xf>
    <xf numFmtId="3" fontId="21" fillId="0" borderId="25" xfId="1" applyNumberFormat="1" applyFont="1" applyBorder="1" applyAlignment="1">
      <alignment horizontal="right" vertical="center" wrapText="1"/>
    </xf>
    <xf numFmtId="3" fontId="20" fillId="0" borderId="58" xfId="1" applyNumberFormat="1" applyFont="1" applyBorder="1" applyAlignment="1">
      <alignment horizontal="right" vertical="center" wrapText="1"/>
    </xf>
    <xf numFmtId="3" fontId="20" fillId="0" borderId="75" xfId="1" applyNumberFormat="1" applyFont="1" applyBorder="1" applyAlignment="1">
      <alignment horizontal="right" vertical="center" wrapText="1"/>
    </xf>
    <xf numFmtId="3" fontId="20" fillId="0" borderId="58" xfId="0" applyNumberFormat="1" applyFont="1" applyBorder="1" applyAlignment="1">
      <alignment horizontal="right" vertical="center" wrapText="1"/>
    </xf>
    <xf numFmtId="3" fontId="20" fillId="0" borderId="27" xfId="0" applyNumberFormat="1" applyFont="1" applyBorder="1" applyAlignment="1">
      <alignment horizontal="right" vertical="center" wrapText="1"/>
    </xf>
    <xf numFmtId="3" fontId="20" fillId="0" borderId="23" xfId="0" applyNumberFormat="1" applyFont="1" applyBorder="1" applyAlignment="1">
      <alignment horizontal="right" vertical="center" wrapText="1"/>
    </xf>
    <xf numFmtId="3" fontId="36" fillId="0" borderId="25" xfId="1" applyNumberFormat="1" applyFont="1" applyBorder="1" applyAlignment="1">
      <alignment horizontal="right" vertical="center" wrapText="1"/>
    </xf>
    <xf numFmtId="3" fontId="19" fillId="0" borderId="58" xfId="1" applyNumberFormat="1" applyFont="1" applyBorder="1" applyAlignment="1">
      <alignment horizontal="right" vertical="center" wrapText="1"/>
    </xf>
    <xf numFmtId="3" fontId="19" fillId="0" borderId="75" xfId="1" applyNumberFormat="1" applyFont="1" applyBorder="1" applyAlignment="1">
      <alignment horizontal="right" vertical="center" wrapText="1"/>
    </xf>
    <xf numFmtId="3" fontId="19" fillId="0" borderId="58" xfId="0" applyNumberFormat="1" applyFont="1" applyBorder="1" applyAlignment="1">
      <alignment horizontal="right" vertical="center" wrapText="1"/>
    </xf>
    <xf numFmtId="3" fontId="19" fillId="0" borderId="51" xfId="0" applyNumberFormat="1" applyFont="1" applyBorder="1" applyAlignment="1">
      <alignment horizontal="right" vertical="center" wrapText="1"/>
    </xf>
    <xf numFmtId="3" fontId="19" fillId="0" borderId="23" xfId="0" applyNumberFormat="1" applyFont="1" applyBorder="1" applyAlignment="1">
      <alignment horizontal="right" vertical="center" wrapText="1"/>
    </xf>
    <xf numFmtId="3" fontId="16" fillId="0" borderId="15" xfId="1" applyNumberFormat="1" applyFont="1" applyBorder="1" applyAlignment="1">
      <alignment horizontal="right" vertical="center" wrapText="1"/>
    </xf>
    <xf numFmtId="3" fontId="15" fillId="0" borderId="60" xfId="1" applyNumberFormat="1" applyFont="1" applyBorder="1" applyAlignment="1">
      <alignment horizontal="right" vertical="center" wrapText="1"/>
    </xf>
    <xf numFmtId="3" fontId="15" fillId="0" borderId="17" xfId="1" applyNumberFormat="1" applyFont="1" applyBorder="1" applyAlignment="1">
      <alignment horizontal="right" vertical="center" wrapText="1"/>
    </xf>
    <xf numFmtId="3" fontId="15" fillId="0" borderId="60" xfId="0" applyNumberFormat="1" applyFont="1" applyBorder="1" applyAlignment="1">
      <alignment horizontal="right" vertical="center" wrapText="1"/>
    </xf>
    <xf numFmtId="3" fontId="15" fillId="0" borderId="19" xfId="0" applyNumberFormat="1" applyFont="1" applyBorder="1" applyAlignment="1">
      <alignment horizontal="right" vertical="center" wrapText="1"/>
    </xf>
    <xf numFmtId="3" fontId="15" fillId="0" borderId="14" xfId="0" applyNumberFormat="1" applyFont="1" applyBorder="1" applyAlignment="1">
      <alignment horizontal="right" vertical="center" wrapText="1"/>
    </xf>
    <xf numFmtId="3" fontId="20" fillId="0" borderId="2" xfId="0" applyNumberFormat="1" applyFont="1" applyBorder="1" applyAlignment="1">
      <alignment horizontal="right" vertical="center" wrapText="1"/>
    </xf>
    <xf numFmtId="3" fontId="13" fillId="0" borderId="15" xfId="1" applyNumberFormat="1" applyFont="1" applyBorder="1" applyAlignment="1">
      <alignment horizontal="right" vertical="center" wrapText="1"/>
    </xf>
    <xf numFmtId="3" fontId="11" fillId="0" borderId="60" xfId="0" applyNumberFormat="1" applyFont="1" applyBorder="1" applyAlignment="1">
      <alignment horizontal="right" vertical="center" wrapText="1"/>
    </xf>
    <xf numFmtId="3" fontId="17" fillId="0" borderId="37" xfId="0" applyNumberFormat="1" applyFont="1" applyBorder="1" applyAlignment="1">
      <alignment horizontal="right" vertical="center" wrapText="1"/>
    </xf>
    <xf numFmtId="3" fontId="11" fillId="0" borderId="19" xfId="0" applyNumberFormat="1" applyFont="1" applyBorder="1" applyAlignment="1">
      <alignment horizontal="right" vertical="center" wrapText="1"/>
    </xf>
    <xf numFmtId="3" fontId="17" fillId="0" borderId="23" xfId="0" applyNumberFormat="1" applyFont="1" applyBorder="1" applyAlignment="1">
      <alignment horizontal="right" vertical="center" wrapText="1"/>
    </xf>
    <xf numFmtId="3" fontId="21" fillId="0" borderId="30" xfId="1" applyNumberFormat="1" applyFont="1" applyBorder="1" applyAlignment="1">
      <alignment horizontal="right" vertical="center" wrapText="1"/>
    </xf>
    <xf numFmtId="3" fontId="20" fillId="0" borderId="68" xfId="1" applyNumberFormat="1" applyFont="1" applyBorder="1" applyAlignment="1">
      <alignment horizontal="right" vertical="center" wrapText="1"/>
    </xf>
    <xf numFmtId="3" fontId="20" fillId="0" borderId="52" xfId="1" applyNumberFormat="1" applyFont="1" applyBorder="1" applyAlignment="1">
      <alignment horizontal="right" vertical="center" wrapText="1"/>
    </xf>
    <xf numFmtId="3" fontId="20" fillId="0" borderId="68" xfId="0" applyNumberFormat="1" applyFont="1" applyBorder="1" applyAlignment="1">
      <alignment horizontal="right" vertical="center" wrapText="1"/>
    </xf>
    <xf numFmtId="3" fontId="20" fillId="0" borderId="1" xfId="0" applyNumberFormat="1" applyFont="1" applyBorder="1" applyAlignment="1">
      <alignment horizontal="right" vertical="center" wrapText="1"/>
    </xf>
    <xf numFmtId="3" fontId="20" fillId="0" borderId="14" xfId="0" applyNumberFormat="1" applyFont="1" applyBorder="1" applyAlignment="1">
      <alignment horizontal="right" vertical="center" wrapText="1"/>
    </xf>
    <xf numFmtId="3" fontId="16" fillId="0" borderId="26" xfId="1" applyNumberFormat="1" applyFont="1" applyBorder="1" applyAlignment="1">
      <alignment horizontal="right" vertical="center" wrapText="1"/>
    </xf>
    <xf numFmtId="3" fontId="15" fillId="0" borderId="47" xfId="1" applyNumberFormat="1" applyFont="1" applyBorder="1" applyAlignment="1">
      <alignment horizontal="right" vertical="center" wrapText="1"/>
    </xf>
    <xf numFmtId="3" fontId="15" fillId="0" borderId="41" xfId="1" applyNumberFormat="1" applyFont="1" applyBorder="1" applyAlignment="1">
      <alignment horizontal="right" vertical="center" wrapText="1"/>
    </xf>
    <xf numFmtId="3" fontId="15" fillId="0" borderId="47" xfId="0" applyNumberFormat="1" applyFont="1" applyBorder="1" applyAlignment="1">
      <alignment horizontal="right" vertical="center" wrapText="1"/>
    </xf>
    <xf numFmtId="3" fontId="15" fillId="0" borderId="37" xfId="0" applyNumberFormat="1" applyFont="1" applyBorder="1" applyAlignment="1">
      <alignment horizontal="right" vertical="center" wrapText="1"/>
    </xf>
    <xf numFmtId="3" fontId="15" fillId="0" borderId="26" xfId="0" applyNumberFormat="1" applyFont="1" applyBorder="1" applyAlignment="1">
      <alignment horizontal="right" vertical="center" wrapText="1"/>
    </xf>
    <xf numFmtId="3" fontId="15" fillId="0" borderId="42" xfId="0" applyNumberFormat="1" applyFont="1" applyBorder="1" applyAlignment="1">
      <alignment horizontal="right" vertical="center" wrapText="1"/>
    </xf>
    <xf numFmtId="3" fontId="18" fillId="0" borderId="26" xfId="1" applyNumberFormat="1" applyFont="1" applyBorder="1" applyAlignment="1">
      <alignment horizontal="right" vertical="center" wrapText="1"/>
    </xf>
    <xf numFmtId="3" fontId="36" fillId="0" borderId="26" xfId="1" applyNumberFormat="1" applyFont="1" applyBorder="1" applyAlignment="1">
      <alignment horizontal="right" vertical="center" wrapText="1"/>
    </xf>
    <xf numFmtId="3" fontId="19" fillId="0" borderId="47" xfId="1" applyNumberFormat="1" applyFont="1" applyBorder="1" applyAlignment="1">
      <alignment horizontal="right" vertical="center" wrapText="1"/>
    </xf>
    <xf numFmtId="3" fontId="19" fillId="0" borderId="41" xfId="1" applyNumberFormat="1" applyFont="1" applyBorder="1" applyAlignment="1">
      <alignment horizontal="right" vertical="center" wrapText="1"/>
    </xf>
    <xf numFmtId="3" fontId="19" fillId="0" borderId="47" xfId="0" applyNumberFormat="1" applyFont="1" applyBorder="1" applyAlignment="1">
      <alignment horizontal="right" vertical="center" wrapText="1"/>
    </xf>
    <xf numFmtId="3" fontId="19" fillId="0" borderId="37" xfId="0" applyNumberFormat="1" applyFont="1" applyBorder="1" applyAlignment="1">
      <alignment horizontal="right" vertical="center" wrapText="1"/>
    </xf>
    <xf numFmtId="3" fontId="19" fillId="0" borderId="26" xfId="0" applyNumberFormat="1" applyFont="1" applyBorder="1" applyAlignment="1">
      <alignment horizontal="right" vertical="center" wrapText="1"/>
    </xf>
    <xf numFmtId="3" fontId="16" fillId="0" borderId="23" xfId="1" applyNumberFormat="1" applyFont="1" applyBorder="1" applyAlignment="1">
      <alignment horizontal="right" vertical="center" wrapText="1"/>
    </xf>
    <xf numFmtId="3" fontId="15" fillId="0" borderId="58" xfId="1" applyNumberFormat="1" applyFont="1" applyBorder="1" applyAlignment="1">
      <alignment horizontal="right" vertical="center" wrapText="1"/>
    </xf>
    <xf numFmtId="3" fontId="15" fillId="0" borderId="75" xfId="1" applyNumberFormat="1" applyFont="1" applyBorder="1" applyAlignment="1">
      <alignment horizontal="right" vertical="center" wrapText="1"/>
    </xf>
    <xf numFmtId="3" fontId="15" fillId="0" borderId="58" xfId="0" applyNumberFormat="1" applyFont="1" applyBorder="1" applyAlignment="1">
      <alignment horizontal="right" vertical="center" wrapText="1"/>
    </xf>
    <xf numFmtId="3" fontId="15" fillId="0" borderId="51" xfId="0" applyNumberFormat="1" applyFont="1" applyBorder="1" applyAlignment="1">
      <alignment horizontal="right" vertical="center" wrapText="1"/>
    </xf>
    <xf numFmtId="3" fontId="15" fillId="0" borderId="23" xfId="0" applyNumberFormat="1" applyFont="1" applyBorder="1" applyAlignment="1">
      <alignment horizontal="right" vertical="center" wrapText="1"/>
    </xf>
    <xf numFmtId="3" fontId="18" fillId="0" borderId="13" xfId="1" applyNumberFormat="1" applyFont="1" applyBorder="1" applyAlignment="1">
      <alignment horizontal="right" vertical="center" wrapText="1"/>
    </xf>
    <xf numFmtId="3" fontId="17" fillId="0" borderId="60" xfId="1" applyNumberFormat="1" applyFont="1" applyBorder="1" applyAlignment="1">
      <alignment horizontal="right" vertical="center" wrapText="1"/>
    </xf>
    <xf numFmtId="3" fontId="17" fillId="0" borderId="17" xfId="1" applyNumberFormat="1" applyFont="1" applyBorder="1" applyAlignment="1">
      <alignment horizontal="right" vertical="center" wrapText="1"/>
    </xf>
    <xf numFmtId="3" fontId="17" fillId="0" borderId="60" xfId="0" applyNumberFormat="1" applyFont="1" applyBorder="1" applyAlignment="1">
      <alignment horizontal="right" vertical="center" wrapText="1"/>
    </xf>
    <xf numFmtId="3" fontId="17" fillId="0" borderId="61" xfId="0" applyNumberFormat="1" applyFont="1" applyBorder="1" applyAlignment="1">
      <alignment horizontal="right" vertical="center" wrapText="1"/>
    </xf>
    <xf numFmtId="3" fontId="17" fillId="0" borderId="13" xfId="0" applyNumberFormat="1" applyFont="1" applyBorder="1" applyAlignment="1">
      <alignment horizontal="right" vertical="center" wrapText="1"/>
    </xf>
    <xf numFmtId="3" fontId="16" fillId="0" borderId="13" xfId="1" applyNumberFormat="1" applyFont="1" applyBorder="1" applyAlignment="1">
      <alignment horizontal="right" vertical="center" wrapText="1"/>
    </xf>
    <xf numFmtId="3" fontId="15" fillId="0" borderId="61" xfId="0" applyNumberFormat="1" applyFont="1" applyBorder="1" applyAlignment="1">
      <alignment horizontal="right" vertical="center" wrapText="1"/>
    </xf>
    <xf numFmtId="3" fontId="15" fillId="0" borderId="13" xfId="0" applyNumberFormat="1" applyFont="1" applyBorder="1" applyAlignment="1">
      <alignment horizontal="right" vertical="center" wrapText="1"/>
    </xf>
    <xf numFmtId="3" fontId="13" fillId="0" borderId="14" xfId="1" applyNumberFormat="1" applyFont="1" applyBorder="1" applyAlignment="1">
      <alignment horizontal="right" vertical="center" wrapText="1"/>
    </xf>
    <xf numFmtId="3" fontId="21" fillId="0" borderId="23" xfId="1" applyNumberFormat="1" applyFont="1" applyBorder="1" applyAlignment="1">
      <alignment horizontal="right" vertical="center" wrapText="1"/>
    </xf>
    <xf numFmtId="3" fontId="20" fillId="0" borderId="51" xfId="0" applyNumberFormat="1" applyFont="1" applyBorder="1" applyAlignment="1">
      <alignment horizontal="right" vertical="center" wrapText="1"/>
    </xf>
    <xf numFmtId="3" fontId="21" fillId="0" borderId="13" xfId="1" applyNumberFormat="1" applyFont="1" applyBorder="1" applyAlignment="1">
      <alignment horizontal="right" vertical="center" wrapText="1"/>
    </xf>
    <xf numFmtId="3" fontId="20" fillId="0" borderId="60" xfId="1" applyNumberFormat="1" applyFont="1" applyBorder="1" applyAlignment="1">
      <alignment horizontal="right" vertical="center" wrapText="1"/>
    </xf>
    <xf numFmtId="3" fontId="20" fillId="0" borderId="17" xfId="1" applyNumberFormat="1" applyFont="1" applyBorder="1" applyAlignment="1">
      <alignment horizontal="right" vertical="center" wrapText="1"/>
    </xf>
    <xf numFmtId="3" fontId="20" fillId="0" borderId="60" xfId="0" applyNumberFormat="1" applyFont="1" applyBorder="1" applyAlignment="1">
      <alignment horizontal="right" vertical="center" wrapText="1"/>
    </xf>
    <xf numFmtId="3" fontId="20" fillId="0" borderId="61" xfId="0" applyNumberFormat="1" applyFont="1" applyBorder="1" applyAlignment="1">
      <alignment horizontal="right" vertical="center" wrapText="1"/>
    </xf>
    <xf numFmtId="3" fontId="20" fillId="0" borderId="13" xfId="0" applyNumberFormat="1" applyFont="1" applyBorder="1" applyAlignment="1">
      <alignment horizontal="right" vertical="center" wrapText="1"/>
    </xf>
    <xf numFmtId="3" fontId="34" fillId="0" borderId="23" xfId="1" applyNumberFormat="1" applyFont="1" applyBorder="1" applyAlignment="1">
      <alignment horizontal="right" vertical="center" wrapText="1"/>
    </xf>
    <xf numFmtId="3" fontId="25" fillId="0" borderId="58" xfId="1" applyNumberFormat="1" applyFont="1" applyBorder="1" applyAlignment="1">
      <alignment horizontal="right" vertical="center" wrapText="1"/>
    </xf>
    <xf numFmtId="3" fontId="25" fillId="0" borderId="75" xfId="1" applyNumberFormat="1" applyFont="1" applyBorder="1" applyAlignment="1">
      <alignment horizontal="right" vertical="center" wrapText="1"/>
    </xf>
    <xf numFmtId="3" fontId="25" fillId="0" borderId="58" xfId="0" applyNumberFormat="1" applyFont="1" applyBorder="1" applyAlignment="1">
      <alignment horizontal="right" vertical="center" wrapText="1"/>
    </xf>
    <xf numFmtId="3" fontId="25" fillId="0" borderId="51" xfId="0" applyNumberFormat="1" applyFont="1" applyBorder="1" applyAlignment="1">
      <alignment horizontal="right" vertical="center" wrapText="1"/>
    </xf>
    <xf numFmtId="3" fontId="25" fillId="0" borderId="23" xfId="0" applyNumberFormat="1" applyFont="1" applyBorder="1" applyAlignment="1">
      <alignment horizontal="right" vertical="center" wrapText="1"/>
    </xf>
    <xf numFmtId="3" fontId="18" fillId="0" borderId="23" xfId="1" applyNumberFormat="1" applyFont="1" applyBorder="1" applyAlignment="1">
      <alignment horizontal="right" vertical="center" wrapText="1"/>
    </xf>
    <xf numFmtId="3" fontId="17" fillId="0" borderId="58" xfId="1" applyNumberFormat="1" applyFont="1" applyBorder="1" applyAlignment="1">
      <alignment horizontal="right" vertical="center" wrapText="1"/>
    </xf>
    <xf numFmtId="3" fontId="17" fillId="0" borderId="75" xfId="1" applyNumberFormat="1" applyFont="1" applyBorder="1" applyAlignment="1">
      <alignment horizontal="right" vertical="center" wrapText="1"/>
    </xf>
    <xf numFmtId="3" fontId="17" fillId="0" borderId="58" xfId="0" applyNumberFormat="1" applyFont="1" applyBorder="1" applyAlignment="1">
      <alignment horizontal="right" vertical="center" wrapText="1"/>
    </xf>
    <xf numFmtId="3" fontId="17" fillId="0" borderId="51" xfId="0" applyNumberFormat="1" applyFont="1" applyBorder="1" applyAlignment="1">
      <alignment horizontal="right" vertical="center" wrapText="1"/>
    </xf>
    <xf numFmtId="3" fontId="29" fillId="0" borderId="14" xfId="0" applyNumberFormat="1" applyFont="1" applyBorder="1" applyAlignment="1">
      <alignment horizontal="center"/>
    </xf>
    <xf numFmtId="165" fontId="29" fillId="0" borderId="19" xfId="0" applyNumberFormat="1" applyFont="1" applyBorder="1" applyAlignment="1">
      <alignment horizontal="center"/>
    </xf>
    <xf numFmtId="165" fontId="11" fillId="0" borderId="17" xfId="1" applyNumberFormat="1" applyBorder="1" applyAlignment="1">
      <alignment horizontal="center" vertical="center" wrapText="1"/>
    </xf>
    <xf numFmtId="3" fontId="17" fillId="0" borderId="30" xfId="1" applyNumberFormat="1" applyFont="1" applyBorder="1" applyAlignment="1">
      <alignment vertical="center" wrapText="1"/>
    </xf>
    <xf numFmtId="3" fontId="13" fillId="0" borderId="12" xfId="0" applyNumberFormat="1" applyFont="1" applyBorder="1" applyAlignment="1">
      <alignment vertical="center" wrapText="1"/>
    </xf>
    <xf numFmtId="3" fontId="11" fillId="0" borderId="55" xfId="0" applyNumberFormat="1" applyFont="1" applyBorder="1" applyAlignment="1">
      <alignment vertical="center" wrapText="1"/>
    </xf>
    <xf numFmtId="3" fontId="11" fillId="0" borderId="57" xfId="0" applyNumberFormat="1" applyFont="1" applyBorder="1" applyAlignment="1">
      <alignment vertical="center" wrapText="1"/>
    </xf>
    <xf numFmtId="3" fontId="11" fillId="0" borderId="2" xfId="0" applyNumberFormat="1" applyFont="1" applyBorder="1" applyAlignment="1">
      <alignment horizontal="right" vertical="center" wrapText="1"/>
    </xf>
    <xf numFmtId="3" fontId="11" fillId="0" borderId="41" xfId="0" applyNumberFormat="1" applyFont="1" applyBorder="1" applyAlignment="1">
      <alignment horizontal="right" vertical="center" wrapText="1"/>
    </xf>
    <xf numFmtId="3" fontId="11" fillId="0" borderId="26" xfId="0" applyNumberFormat="1" applyFont="1" applyBorder="1" applyAlignment="1">
      <alignment horizontal="right" vertical="center"/>
    </xf>
    <xf numFmtId="3" fontId="11" fillId="0" borderId="25" xfId="0" applyNumberFormat="1" applyFont="1" applyBorder="1" applyAlignment="1">
      <alignment horizontal="right" vertical="center" wrapText="1"/>
    </xf>
    <xf numFmtId="3" fontId="11" fillId="0" borderId="30" xfId="0" applyNumberFormat="1" applyFont="1" applyBorder="1" applyAlignment="1">
      <alignment horizontal="right" vertical="center" wrapText="1"/>
    </xf>
    <xf numFmtId="3" fontId="11" fillId="0" borderId="52" xfId="0" applyNumberFormat="1" applyFont="1" applyBorder="1" applyAlignment="1">
      <alignment horizontal="right" vertical="center" wrapText="1"/>
    </xf>
    <xf numFmtId="3" fontId="11" fillId="0" borderId="14" xfId="0" applyNumberFormat="1" applyFont="1" applyBorder="1" applyAlignment="1">
      <alignment horizontal="right" vertical="center"/>
    </xf>
    <xf numFmtId="3" fontId="11" fillId="0" borderId="55" xfId="0" applyNumberFormat="1" applyFont="1" applyBorder="1" applyAlignment="1">
      <alignment horizontal="right" vertical="center" wrapText="1"/>
    </xf>
    <xf numFmtId="3" fontId="11" fillId="0" borderId="57" xfId="0" applyNumberFormat="1" applyFont="1" applyBorder="1" applyAlignment="1">
      <alignment horizontal="right" vertical="center" wrapText="1"/>
    </xf>
    <xf numFmtId="3" fontId="11" fillId="0" borderId="18" xfId="0" applyNumberFormat="1" applyFont="1" applyBorder="1" applyAlignment="1">
      <alignment horizontal="right" vertical="center"/>
    </xf>
    <xf numFmtId="3" fontId="17" fillId="0" borderId="68" xfId="0" applyNumberFormat="1" applyFont="1" applyBorder="1" applyAlignment="1">
      <alignment horizontal="right" vertical="center" wrapText="1"/>
    </xf>
    <xf numFmtId="3" fontId="17" fillId="0" borderId="52" xfId="0" applyNumberFormat="1" applyFont="1" applyBorder="1" applyAlignment="1">
      <alignment horizontal="right" vertical="center" wrapText="1"/>
    </xf>
    <xf numFmtId="3" fontId="17" fillId="0" borderId="72" xfId="0" applyNumberFormat="1" applyFont="1" applyBorder="1" applyAlignment="1">
      <alignment horizontal="right" vertical="center" wrapText="1"/>
    </xf>
    <xf numFmtId="3" fontId="17" fillId="0" borderId="74" xfId="0" applyNumberFormat="1" applyFont="1" applyBorder="1" applyAlignment="1">
      <alignment horizontal="right" vertical="center" wrapText="1"/>
    </xf>
    <xf numFmtId="3" fontId="17" fillId="0" borderId="14" xfId="0" applyNumberFormat="1" applyFont="1" applyBorder="1" applyAlignment="1">
      <alignment horizontal="right" vertical="center"/>
    </xf>
    <xf numFmtId="3" fontId="20" fillId="0" borderId="31" xfId="0" applyNumberFormat="1" applyFont="1" applyBorder="1" applyAlignment="1">
      <alignment horizontal="right" vertical="center" wrapText="1"/>
    </xf>
    <xf numFmtId="3" fontId="19" fillId="0" borderId="41" xfId="0" applyNumberFormat="1" applyFont="1" applyBorder="1" applyAlignment="1">
      <alignment horizontal="right" vertical="center" wrapText="1"/>
    </xf>
    <xf numFmtId="3" fontId="19" fillId="0" borderId="36" xfId="0" applyNumberFormat="1" applyFont="1" applyBorder="1" applyAlignment="1">
      <alignment horizontal="right" vertical="center" wrapText="1"/>
    </xf>
    <xf numFmtId="3" fontId="19" fillId="0" borderId="42" xfId="0" applyNumberFormat="1" applyFont="1" applyBorder="1" applyAlignment="1">
      <alignment horizontal="right" vertical="center" wrapText="1"/>
    </xf>
    <xf numFmtId="3" fontId="19" fillId="0" borderId="26" xfId="0" applyNumberFormat="1" applyFont="1" applyBorder="1" applyAlignment="1">
      <alignment horizontal="right" vertical="center"/>
    </xf>
    <xf numFmtId="3" fontId="11" fillId="0" borderId="31" xfId="0" applyNumberFormat="1" applyFont="1" applyBorder="1" applyAlignment="1">
      <alignment horizontal="right" vertical="center" wrapText="1"/>
    </xf>
    <xf numFmtId="3" fontId="11" fillId="0" borderId="75" xfId="0" applyNumberFormat="1" applyFont="1" applyBorder="1" applyAlignment="1">
      <alignment horizontal="right" vertical="center" wrapText="1"/>
    </xf>
    <xf numFmtId="3" fontId="11" fillId="0" borderId="23" xfId="0" applyNumberFormat="1" applyFont="1" applyBorder="1" applyAlignment="1">
      <alignment horizontal="right" vertical="center"/>
    </xf>
    <xf numFmtId="3" fontId="11" fillId="0" borderId="15" xfId="0" applyNumberFormat="1" applyFont="1" applyBorder="1" applyAlignment="1">
      <alignment horizontal="right" vertical="center" wrapText="1"/>
    </xf>
    <xf numFmtId="3" fontId="11" fillId="0" borderId="17" xfId="0" applyNumberFormat="1" applyFont="1" applyBorder="1" applyAlignment="1">
      <alignment horizontal="right" vertical="center" wrapText="1"/>
    </xf>
    <xf numFmtId="3" fontId="11" fillId="0" borderId="13" xfId="0" applyNumberFormat="1" applyFont="1" applyBorder="1" applyAlignment="1">
      <alignment horizontal="right" vertical="center"/>
    </xf>
    <xf numFmtId="3" fontId="19" fillId="0" borderId="31" xfId="0" applyNumberFormat="1" applyFont="1" applyBorder="1" applyAlignment="1">
      <alignment horizontal="right" vertical="center" wrapText="1"/>
    </xf>
    <xf numFmtId="3" fontId="11" fillId="0" borderId="34" xfId="0" applyNumberFormat="1" applyFont="1" applyBorder="1" applyAlignment="1">
      <alignment horizontal="right" vertical="center" wrapText="1"/>
    </xf>
    <xf numFmtId="3" fontId="11" fillId="0" borderId="49" xfId="0" applyNumberFormat="1" applyFont="1" applyBorder="1" applyAlignment="1">
      <alignment horizontal="right" vertical="center" wrapText="1"/>
    </xf>
    <xf numFmtId="3" fontId="11" fillId="0" borderId="76" xfId="0" applyNumberFormat="1" applyFont="1" applyBorder="1" applyAlignment="1">
      <alignment horizontal="right" vertical="center" wrapText="1"/>
    </xf>
    <xf numFmtId="3" fontId="11" fillId="0" borderId="70" xfId="0" applyNumberFormat="1" applyFont="1" applyBorder="1" applyAlignment="1">
      <alignment horizontal="right" vertical="center" wrapText="1"/>
    </xf>
    <xf numFmtId="3" fontId="11" fillId="0" borderId="59" xfId="0" applyNumberFormat="1" applyFont="1" applyBorder="1" applyAlignment="1">
      <alignment horizontal="right" vertical="center" wrapText="1"/>
    </xf>
    <xf numFmtId="3" fontId="11" fillId="0" borderId="33" xfId="0" applyNumberFormat="1" applyFont="1" applyBorder="1" applyAlignment="1">
      <alignment horizontal="right" vertical="center"/>
    </xf>
    <xf numFmtId="3" fontId="19" fillId="0" borderId="23" xfId="0" applyNumberFormat="1" applyFont="1" applyBorder="1" applyAlignment="1">
      <alignment horizontal="right" vertical="center"/>
    </xf>
    <xf numFmtId="3" fontId="17" fillId="0" borderId="31" xfId="0" applyNumberFormat="1" applyFont="1" applyBorder="1" applyAlignment="1">
      <alignment horizontal="right" vertical="center" wrapText="1"/>
    </xf>
    <xf numFmtId="3" fontId="17" fillId="0" borderId="41" xfId="0" applyNumberFormat="1" applyFont="1" applyBorder="1" applyAlignment="1">
      <alignment horizontal="right" vertical="center" wrapText="1"/>
    </xf>
    <xf numFmtId="3" fontId="17" fillId="0" borderId="36" xfId="0" applyNumberFormat="1" applyFont="1" applyBorder="1" applyAlignment="1">
      <alignment horizontal="right" vertical="center" wrapText="1"/>
    </xf>
    <xf numFmtId="3" fontId="17" fillId="0" borderId="26" xfId="0" applyNumberFormat="1" applyFont="1" applyBorder="1" applyAlignment="1">
      <alignment horizontal="right" vertical="center"/>
    </xf>
    <xf numFmtId="3" fontId="17" fillId="0" borderId="15" xfId="0" applyNumberFormat="1" applyFont="1" applyBorder="1" applyAlignment="1">
      <alignment horizontal="right" vertical="center" wrapText="1"/>
    </xf>
    <xf numFmtId="3" fontId="17" fillId="0" borderId="17" xfId="0" applyNumberFormat="1" applyFont="1" applyBorder="1" applyAlignment="1">
      <alignment horizontal="right" vertical="center" wrapText="1"/>
    </xf>
    <xf numFmtId="3" fontId="17" fillId="0" borderId="54" xfId="0" applyNumberFormat="1" applyFont="1" applyBorder="1" applyAlignment="1">
      <alignment horizontal="right" vertical="center" wrapText="1"/>
    </xf>
    <xf numFmtId="3" fontId="11" fillId="0" borderId="52" xfId="0" applyNumberFormat="1" applyFont="1" applyBorder="1" applyAlignment="1">
      <alignment horizontal="center" vertical="center" wrapText="1"/>
    </xf>
    <xf numFmtId="3" fontId="18" fillId="0" borderId="25" xfId="1" applyNumberFormat="1" applyFont="1" applyBorder="1" applyAlignment="1">
      <alignment vertical="center" wrapText="1"/>
    </xf>
    <xf numFmtId="3" fontId="17" fillId="0" borderId="62" xfId="1" applyNumberFormat="1" applyFont="1" applyBorder="1" applyAlignment="1">
      <alignment vertical="center" wrapText="1"/>
    </xf>
    <xf numFmtId="3" fontId="17" fillId="0" borderId="46" xfId="1" applyNumberFormat="1" applyFont="1" applyBorder="1" applyAlignment="1">
      <alignment vertical="center" wrapText="1"/>
    </xf>
    <xf numFmtId="3" fontId="17" fillId="0" borderId="53" xfId="0" applyNumberFormat="1" applyFont="1" applyBorder="1" applyAlignment="1">
      <alignment vertical="center" wrapText="1"/>
    </xf>
    <xf numFmtId="3" fontId="17" fillId="0" borderId="50" xfId="0" applyNumberFormat="1" applyFont="1" applyBorder="1" applyAlignment="1">
      <alignment vertical="center" wrapText="1"/>
    </xf>
    <xf numFmtId="3" fontId="11" fillId="0" borderId="54" xfId="0" applyNumberFormat="1" applyFont="1" applyBorder="1" applyAlignment="1">
      <alignment vertical="center" wrapText="1"/>
    </xf>
    <xf numFmtId="3" fontId="11" fillId="0" borderId="61" xfId="0" applyNumberFormat="1" applyFont="1" applyBorder="1" applyAlignment="1">
      <alignment vertical="center" wrapText="1"/>
    </xf>
    <xf numFmtId="3" fontId="18" fillId="0" borderId="30" xfId="1" applyNumberFormat="1" applyFont="1" applyBorder="1" applyAlignment="1">
      <alignment vertical="center"/>
    </xf>
    <xf numFmtId="3" fontId="17" fillId="0" borderId="68" xfId="1" applyNumberFormat="1" applyFont="1" applyBorder="1" applyAlignment="1">
      <alignment vertical="center"/>
    </xf>
    <xf numFmtId="3" fontId="17" fillId="0" borderId="52" xfId="1" applyNumberFormat="1" applyFont="1" applyBorder="1" applyAlignment="1">
      <alignment vertical="center"/>
    </xf>
    <xf numFmtId="3" fontId="17" fillId="0" borderId="72" xfId="0" applyNumberFormat="1" applyFont="1" applyBorder="1" applyAlignment="1">
      <alignment vertical="center"/>
    </xf>
    <xf numFmtId="3" fontId="17" fillId="0" borderId="74" xfId="0" applyNumberFormat="1" applyFont="1" applyBorder="1" applyAlignment="1">
      <alignment vertical="center"/>
    </xf>
    <xf numFmtId="3" fontId="13" fillId="0" borderId="30" xfId="1" applyNumberFormat="1" applyFont="1" applyBorder="1" applyAlignment="1">
      <alignment vertical="center"/>
    </xf>
    <xf numFmtId="3" fontId="11" fillId="0" borderId="68" xfId="1" applyNumberFormat="1" applyBorder="1" applyAlignment="1">
      <alignment vertical="center"/>
    </xf>
    <xf numFmtId="3" fontId="11" fillId="0" borderId="52" xfId="1" applyNumberFormat="1" applyBorder="1" applyAlignment="1">
      <alignment vertical="center"/>
    </xf>
    <xf numFmtId="3" fontId="11" fillId="0" borderId="72" xfId="0" applyNumberFormat="1" applyFont="1" applyBorder="1" applyAlignment="1">
      <alignment vertical="center"/>
    </xf>
    <xf numFmtId="3" fontId="11" fillId="0" borderId="74" xfId="0" applyNumberFormat="1" applyFont="1" applyBorder="1" applyAlignment="1">
      <alignment vertical="center"/>
    </xf>
    <xf numFmtId="3" fontId="18" fillId="0" borderId="15" xfId="1" applyNumberFormat="1" applyFont="1" applyBorder="1" applyAlignment="1">
      <alignment vertical="center"/>
    </xf>
    <xf numFmtId="3" fontId="17" fillId="0" borderId="60" xfId="1" applyNumberFormat="1" applyFont="1" applyBorder="1" applyAlignment="1">
      <alignment vertical="center"/>
    </xf>
    <xf numFmtId="3" fontId="17" fillId="0" borderId="17" xfId="1" applyNumberFormat="1" applyFont="1" applyBorder="1" applyAlignment="1">
      <alignment vertical="center"/>
    </xf>
    <xf numFmtId="3" fontId="17" fillId="0" borderId="54" xfId="0" applyNumberFormat="1" applyFont="1" applyBorder="1" applyAlignment="1">
      <alignment vertical="center"/>
    </xf>
    <xf numFmtId="3" fontId="17" fillId="0" borderId="61" xfId="0" applyNumberFormat="1" applyFont="1" applyBorder="1" applyAlignment="1">
      <alignment vertical="center"/>
    </xf>
    <xf numFmtId="3" fontId="17" fillId="0" borderId="13" xfId="0" applyNumberFormat="1" applyFont="1" applyBorder="1" applyAlignment="1">
      <alignment horizontal="right" vertical="center"/>
    </xf>
    <xf numFmtId="3" fontId="18" fillId="0" borderId="28" xfId="1" applyNumberFormat="1" applyFont="1" applyBorder="1" applyAlignment="1">
      <alignment vertical="center"/>
    </xf>
    <xf numFmtId="3" fontId="17" fillId="0" borderId="64" xfId="1" applyNumberFormat="1" applyFont="1" applyBorder="1" applyAlignment="1">
      <alignment vertical="center"/>
    </xf>
    <xf numFmtId="3" fontId="17" fillId="0" borderId="66" xfId="1" applyNumberFormat="1" applyFont="1" applyBorder="1" applyAlignment="1">
      <alignment vertical="center"/>
    </xf>
    <xf numFmtId="3" fontId="17" fillId="0" borderId="71" xfId="0" applyNumberFormat="1" applyFont="1" applyBorder="1" applyAlignment="1">
      <alignment vertical="center"/>
    </xf>
    <xf numFmtId="3" fontId="17" fillId="0" borderId="73" xfId="0" applyNumberFormat="1" applyFont="1" applyBorder="1" applyAlignment="1">
      <alignment vertical="center"/>
    </xf>
    <xf numFmtId="3" fontId="17" fillId="0" borderId="22" xfId="0" applyNumberFormat="1" applyFont="1" applyBorder="1" applyAlignment="1">
      <alignment horizontal="right" vertical="center"/>
    </xf>
    <xf numFmtId="3" fontId="36" fillId="0" borderId="34" xfId="1" applyNumberFormat="1" applyFont="1" applyBorder="1" applyAlignment="1">
      <alignment vertical="center"/>
    </xf>
    <xf numFmtId="3" fontId="19" fillId="0" borderId="49" xfId="1" applyNumberFormat="1" applyFont="1" applyBorder="1" applyAlignment="1">
      <alignment vertical="center"/>
    </xf>
    <xf numFmtId="3" fontId="19" fillId="0" borderId="76" xfId="1" applyNumberFormat="1" applyFont="1" applyBorder="1" applyAlignment="1">
      <alignment vertical="center"/>
    </xf>
    <xf numFmtId="3" fontId="19" fillId="0" borderId="70" xfId="0" applyNumberFormat="1" applyFont="1" applyBorder="1" applyAlignment="1">
      <alignment vertical="center"/>
    </xf>
    <xf numFmtId="3" fontId="19" fillId="0" borderId="59" xfId="0" applyNumberFormat="1" applyFont="1" applyBorder="1" applyAlignment="1">
      <alignment vertical="center"/>
    </xf>
    <xf numFmtId="3" fontId="19" fillId="0" borderId="33" xfId="0" applyNumberFormat="1" applyFont="1" applyBorder="1" applyAlignment="1">
      <alignment horizontal="right" vertical="center"/>
    </xf>
    <xf numFmtId="3" fontId="13" fillId="0" borderId="31" xfId="1" applyNumberFormat="1" applyFont="1" applyBorder="1" applyAlignment="1">
      <alignment vertical="center"/>
    </xf>
    <xf numFmtId="3" fontId="11" fillId="0" borderId="47" xfId="1" applyNumberFormat="1" applyBorder="1" applyAlignment="1">
      <alignment vertical="center"/>
    </xf>
    <xf numFmtId="3" fontId="11" fillId="0" borderId="41" xfId="1" applyNumberFormat="1" applyBorder="1" applyAlignment="1">
      <alignment vertical="center"/>
    </xf>
    <xf numFmtId="3" fontId="11" fillId="0" borderId="36" xfId="0" applyNumberFormat="1" applyFont="1" applyBorder="1" applyAlignment="1">
      <alignment vertical="center"/>
    </xf>
    <xf numFmtId="3" fontId="11" fillId="0" borderId="42" xfId="0" applyNumberFormat="1" applyFont="1" applyBorder="1" applyAlignment="1">
      <alignment vertical="center"/>
    </xf>
    <xf numFmtId="3" fontId="36" fillId="0" borderId="15" xfId="1" applyNumberFormat="1" applyFont="1" applyBorder="1" applyAlignment="1">
      <alignment vertical="center"/>
    </xf>
    <xf numFmtId="3" fontId="19" fillId="0" borderId="60" xfId="1" applyNumberFormat="1" applyFont="1" applyBorder="1" applyAlignment="1">
      <alignment vertical="center"/>
    </xf>
    <xf numFmtId="3" fontId="19" fillId="0" borderId="17" xfId="1" applyNumberFormat="1" applyFont="1" applyBorder="1" applyAlignment="1">
      <alignment vertical="center"/>
    </xf>
    <xf numFmtId="3" fontId="19" fillId="0" borderId="54" xfId="0" applyNumberFormat="1" applyFont="1" applyBorder="1" applyAlignment="1">
      <alignment vertical="center"/>
    </xf>
    <xf numFmtId="3" fontId="19" fillId="0" borderId="61" xfId="0" applyNumberFormat="1" applyFont="1" applyBorder="1" applyAlignment="1">
      <alignment vertical="center"/>
    </xf>
    <xf numFmtId="3" fontId="19" fillId="0" borderId="13" xfId="0" applyNumberFormat="1" applyFont="1" applyBorder="1" applyAlignment="1">
      <alignment horizontal="right" vertical="center"/>
    </xf>
    <xf numFmtId="3" fontId="18" fillId="0" borderId="34" xfId="1" applyNumberFormat="1" applyFont="1" applyBorder="1" applyAlignment="1">
      <alignment vertical="center"/>
    </xf>
    <xf numFmtId="3" fontId="17" fillId="0" borderId="49" xfId="1" applyNumberFormat="1" applyFont="1" applyBorder="1" applyAlignment="1">
      <alignment vertical="center"/>
    </xf>
    <xf numFmtId="3" fontId="17" fillId="0" borderId="76" xfId="1" applyNumberFormat="1" applyFont="1" applyBorder="1" applyAlignment="1">
      <alignment vertical="center"/>
    </xf>
    <xf numFmtId="3" fontId="17" fillId="0" borderId="70" xfId="0" applyNumberFormat="1" applyFont="1" applyBorder="1" applyAlignment="1">
      <alignment vertical="center"/>
    </xf>
    <xf numFmtId="3" fontId="17" fillId="0" borderId="59" xfId="0" applyNumberFormat="1" applyFont="1" applyBorder="1" applyAlignment="1">
      <alignment vertical="center"/>
    </xf>
    <xf numFmtId="3" fontId="17" fillId="0" borderId="33" xfId="0" applyNumberFormat="1" applyFont="1" applyBorder="1" applyAlignment="1">
      <alignment horizontal="right" vertical="center"/>
    </xf>
    <xf numFmtId="3" fontId="16" fillId="0" borderId="34" xfId="1" applyNumberFormat="1" applyFont="1" applyBorder="1" applyAlignment="1">
      <alignment vertical="center"/>
    </xf>
    <xf numFmtId="3" fontId="15" fillId="0" borderId="49" xfId="1" applyNumberFormat="1" applyFont="1" applyBorder="1" applyAlignment="1">
      <alignment vertical="center"/>
    </xf>
    <xf numFmtId="3" fontId="15" fillId="0" borderId="76" xfId="1" applyNumberFormat="1" applyFont="1" applyBorder="1" applyAlignment="1">
      <alignment vertical="center"/>
    </xf>
    <xf numFmtId="3" fontId="15" fillId="0" borderId="70" xfId="0" applyNumberFormat="1" applyFont="1" applyBorder="1" applyAlignment="1">
      <alignment vertical="center"/>
    </xf>
    <xf numFmtId="3" fontId="15" fillId="0" borderId="59" xfId="0" applyNumberFormat="1" applyFont="1" applyBorder="1" applyAlignment="1">
      <alignment vertical="center"/>
    </xf>
    <xf numFmtId="3" fontId="15" fillId="0" borderId="33" xfId="0" applyNumberFormat="1" applyFont="1" applyBorder="1" applyAlignment="1">
      <alignment horizontal="right" vertical="center"/>
    </xf>
    <xf numFmtId="3" fontId="13" fillId="0" borderId="34" xfId="1" applyNumberFormat="1" applyFont="1" applyBorder="1" applyAlignment="1">
      <alignment vertical="center"/>
    </xf>
    <xf numFmtId="3" fontId="11" fillId="0" borderId="49" xfId="1" applyNumberFormat="1" applyBorder="1" applyAlignment="1">
      <alignment vertical="center"/>
    </xf>
    <xf numFmtId="3" fontId="11" fillId="0" borderId="76" xfId="1" applyNumberFormat="1" applyBorder="1" applyAlignment="1">
      <alignment vertical="center"/>
    </xf>
    <xf numFmtId="3" fontId="11" fillId="0" borderId="70" xfId="0" applyNumberFormat="1" applyFont="1" applyBorder="1" applyAlignment="1">
      <alignment vertical="center"/>
    </xf>
    <xf numFmtId="3" fontId="11" fillId="0" borderId="59" xfId="0" applyNumberFormat="1" applyFont="1" applyBorder="1" applyAlignment="1">
      <alignment vertical="center"/>
    </xf>
    <xf numFmtId="3" fontId="13" fillId="0" borderId="15" xfId="1" applyNumberFormat="1" applyFont="1" applyBorder="1" applyAlignment="1">
      <alignment vertical="center"/>
    </xf>
    <xf numFmtId="3" fontId="11" fillId="0" borderId="60" xfId="1" applyNumberFormat="1" applyBorder="1" applyAlignment="1">
      <alignment vertical="center"/>
    </xf>
    <xf numFmtId="3" fontId="11" fillId="0" borderId="17" xfId="1" applyNumberFormat="1" applyBorder="1" applyAlignment="1">
      <alignment vertical="center"/>
    </xf>
    <xf numFmtId="3" fontId="11" fillId="0" borderId="54" xfId="0" applyNumberFormat="1" applyFont="1" applyBorder="1" applyAlignment="1">
      <alignment vertical="center"/>
    </xf>
    <xf numFmtId="3" fontId="11" fillId="0" borderId="61" xfId="0" applyNumberFormat="1" applyFont="1" applyBorder="1" applyAlignment="1">
      <alignment vertical="center"/>
    </xf>
    <xf numFmtId="3" fontId="36" fillId="0" borderId="28" xfId="1" applyNumberFormat="1" applyFont="1" applyBorder="1" applyAlignment="1">
      <alignment vertical="center"/>
    </xf>
    <xf numFmtId="3" fontId="19" fillId="0" borderId="64" xfId="1" applyNumberFormat="1" applyFont="1" applyBorder="1" applyAlignment="1">
      <alignment vertical="center"/>
    </xf>
    <xf numFmtId="3" fontId="19" fillId="0" borderId="66" xfId="1" applyNumberFormat="1" applyFont="1" applyBorder="1" applyAlignment="1">
      <alignment vertical="center"/>
    </xf>
    <xf numFmtId="3" fontId="19" fillId="0" borderId="71" xfId="0" applyNumberFormat="1" applyFont="1" applyBorder="1" applyAlignment="1">
      <alignment vertical="center"/>
    </xf>
    <xf numFmtId="3" fontId="19" fillId="0" borderId="73" xfId="0" applyNumberFormat="1" applyFont="1" applyBorder="1" applyAlignment="1">
      <alignment vertical="center"/>
    </xf>
    <xf numFmtId="3" fontId="19" fillId="0" borderId="22" xfId="0" applyNumberFormat="1" applyFont="1" applyBorder="1" applyAlignment="1">
      <alignment horizontal="right" vertical="center"/>
    </xf>
    <xf numFmtId="3" fontId="18" fillId="0" borderId="31" xfId="1" applyNumberFormat="1" applyFont="1" applyBorder="1" applyAlignment="1">
      <alignment vertical="center"/>
    </xf>
    <xf numFmtId="3" fontId="17" fillId="0" borderId="47" xfId="1" applyNumberFormat="1" applyFont="1" applyBorder="1" applyAlignment="1">
      <alignment vertical="center"/>
    </xf>
    <xf numFmtId="3" fontId="17" fillId="0" borderId="41" xfId="1" applyNumberFormat="1" applyFont="1" applyBorder="1" applyAlignment="1">
      <alignment vertical="center"/>
    </xf>
    <xf numFmtId="3" fontId="17" fillId="0" borderId="36" xfId="0" applyNumberFormat="1" applyFont="1" applyBorder="1" applyAlignment="1">
      <alignment vertical="center"/>
    </xf>
    <xf numFmtId="3" fontId="17" fillId="0" borderId="42" xfId="0" applyNumberFormat="1" applyFont="1" applyBorder="1" applyAlignment="1">
      <alignment vertical="center"/>
    </xf>
    <xf numFmtId="3" fontId="16" fillId="0" borderId="28" xfId="1" applyNumberFormat="1" applyFont="1" applyBorder="1" applyAlignment="1">
      <alignment vertical="center"/>
    </xf>
    <xf numFmtId="3" fontId="15" fillId="0" borderId="64" xfId="1" applyNumberFormat="1" applyFont="1" applyBorder="1" applyAlignment="1">
      <alignment vertical="center"/>
    </xf>
    <xf numFmtId="3" fontId="15" fillId="0" borderId="66" xfId="1" applyNumberFormat="1" applyFont="1" applyBorder="1" applyAlignment="1">
      <alignment vertical="center"/>
    </xf>
    <xf numFmtId="3" fontId="15" fillId="0" borderId="71" xfId="0" applyNumberFormat="1" applyFont="1" applyBorder="1" applyAlignment="1">
      <alignment vertical="center"/>
    </xf>
    <xf numFmtId="3" fontId="15" fillId="0" borderId="73" xfId="0" applyNumberFormat="1" applyFont="1" applyBorder="1" applyAlignment="1">
      <alignment vertical="center"/>
    </xf>
    <xf numFmtId="3" fontId="15" fillId="0" borderId="22" xfId="0" applyNumberFormat="1" applyFont="1" applyBorder="1" applyAlignment="1">
      <alignment horizontal="right" vertical="center"/>
    </xf>
    <xf numFmtId="3" fontId="36" fillId="0" borderId="31" xfId="1" applyNumberFormat="1" applyFont="1" applyBorder="1" applyAlignment="1">
      <alignment vertical="center"/>
    </xf>
    <xf numFmtId="3" fontId="19" fillId="0" borderId="47" xfId="1" applyNumberFormat="1" applyFont="1" applyBorder="1" applyAlignment="1">
      <alignment vertical="center"/>
    </xf>
    <xf numFmtId="3" fontId="19" fillId="0" borderId="41" xfId="1" applyNumberFormat="1" applyFont="1" applyBorder="1" applyAlignment="1">
      <alignment vertical="center"/>
    </xf>
    <xf numFmtId="3" fontId="19" fillId="0" borderId="36" xfId="0" applyNumberFormat="1" applyFont="1" applyBorder="1" applyAlignment="1">
      <alignment vertical="center"/>
    </xf>
    <xf numFmtId="3" fontId="19" fillId="0" borderId="42" xfId="0" applyNumberFormat="1" applyFont="1" applyBorder="1" applyAlignment="1">
      <alignment vertical="center"/>
    </xf>
    <xf numFmtId="3" fontId="36" fillId="0" borderId="25" xfId="1" applyNumberFormat="1" applyFont="1" applyBorder="1" applyAlignment="1">
      <alignment vertical="center"/>
    </xf>
    <xf numFmtId="3" fontId="19" fillId="0" borderId="58" xfId="1" applyNumberFormat="1" applyFont="1" applyBorder="1" applyAlignment="1">
      <alignment vertical="center"/>
    </xf>
    <xf numFmtId="3" fontId="19" fillId="0" borderId="75" xfId="1" applyNumberFormat="1" applyFont="1" applyBorder="1" applyAlignment="1">
      <alignment vertical="center"/>
    </xf>
    <xf numFmtId="3" fontId="19" fillId="0" borderId="44" xfId="0" applyNumberFormat="1" applyFont="1" applyBorder="1" applyAlignment="1">
      <alignment vertical="center"/>
    </xf>
    <xf numFmtId="3" fontId="19" fillId="0" borderId="51" xfId="0" applyNumberFormat="1" applyFont="1" applyBorder="1" applyAlignment="1">
      <alignment vertical="center"/>
    </xf>
    <xf numFmtId="3" fontId="11" fillId="0" borderId="41" xfId="0" applyNumberFormat="1" applyFont="1" applyBorder="1" applyAlignment="1">
      <alignment vertical="center"/>
    </xf>
    <xf numFmtId="3" fontId="13" fillId="0" borderId="25" xfId="1" applyNumberFormat="1" applyFont="1" applyBorder="1" applyAlignment="1">
      <alignment vertical="center"/>
    </xf>
    <xf numFmtId="3" fontId="11" fillId="0" borderId="58" xfId="1" applyNumberFormat="1" applyBorder="1" applyAlignment="1">
      <alignment vertical="center"/>
    </xf>
    <xf numFmtId="3" fontId="11" fillId="0" borderId="75" xfId="1" applyNumberFormat="1" applyBorder="1" applyAlignment="1">
      <alignment vertical="center"/>
    </xf>
    <xf numFmtId="3" fontId="11" fillId="0" borderId="44" xfId="0" applyNumberFormat="1" applyFont="1" applyBorder="1" applyAlignment="1">
      <alignment vertical="center"/>
    </xf>
    <xf numFmtId="3" fontId="11" fillId="0" borderId="51" xfId="0" applyNumberFormat="1" applyFont="1" applyBorder="1" applyAlignment="1">
      <alignment vertical="center"/>
    </xf>
    <xf numFmtId="3" fontId="13" fillId="0" borderId="28" xfId="1" applyNumberFormat="1" applyFont="1" applyBorder="1" applyAlignment="1">
      <alignment vertical="center"/>
    </xf>
    <xf numFmtId="3" fontId="11" fillId="0" borderId="64" xfId="1" applyNumberFormat="1" applyBorder="1" applyAlignment="1">
      <alignment vertical="center"/>
    </xf>
    <xf numFmtId="3" fontId="11" fillId="0" borderId="66" xfId="1" applyNumberFormat="1" applyBorder="1" applyAlignment="1">
      <alignment vertical="center"/>
    </xf>
    <xf numFmtId="3" fontId="11" fillId="0" borderId="71" xfId="0" applyNumberFormat="1" applyFont="1" applyBorder="1" applyAlignment="1">
      <alignment vertical="center"/>
    </xf>
    <xf numFmtId="3" fontId="11" fillId="0" borderId="73" xfId="0" applyNumberFormat="1" applyFont="1" applyBorder="1" applyAlignment="1">
      <alignment vertical="center"/>
    </xf>
    <xf numFmtId="3" fontId="11" fillId="0" borderId="22" xfId="0" applyNumberFormat="1" applyFont="1" applyBorder="1" applyAlignment="1">
      <alignment horizontal="right" vertical="center"/>
    </xf>
    <xf numFmtId="3" fontId="13" fillId="0" borderId="32" xfId="0" applyNumberFormat="1" applyFont="1" applyBorder="1" applyAlignment="1">
      <alignment horizontal="right" vertical="center"/>
    </xf>
    <xf numFmtId="3" fontId="13" fillId="0" borderId="12" xfId="1" applyNumberFormat="1" applyFont="1" applyBorder="1" applyAlignment="1">
      <alignment vertical="center"/>
    </xf>
    <xf numFmtId="3" fontId="11" fillId="0" borderId="55" xfId="1" applyNumberFormat="1" applyBorder="1" applyAlignment="1">
      <alignment vertical="center"/>
    </xf>
    <xf numFmtId="3" fontId="11" fillId="0" borderId="57" xfId="1" applyNumberFormat="1" applyBorder="1" applyAlignment="1">
      <alignment vertical="center"/>
    </xf>
    <xf numFmtId="3" fontId="11" fillId="0" borderId="38" xfId="0" applyNumberFormat="1" applyFont="1" applyBorder="1" applyAlignment="1">
      <alignment vertical="center"/>
    </xf>
    <xf numFmtId="3" fontId="11" fillId="0" borderId="39" xfId="0" applyNumberFormat="1" applyFont="1" applyBorder="1" applyAlignment="1">
      <alignment vertical="center"/>
    </xf>
    <xf numFmtId="3" fontId="13" fillId="0" borderId="15" xfId="1" applyNumberFormat="1" applyFont="1" applyBorder="1" applyAlignment="1">
      <alignment vertical="center" wrapText="1"/>
    </xf>
    <xf numFmtId="3" fontId="11" fillId="0" borderId="60" xfId="1" applyNumberFormat="1" applyBorder="1" applyAlignment="1">
      <alignment vertical="center" wrapText="1"/>
    </xf>
    <xf numFmtId="3" fontId="11" fillId="0" borderId="17" xfId="1" applyNumberFormat="1" applyBorder="1" applyAlignment="1">
      <alignment vertical="center" wrapText="1"/>
    </xf>
    <xf numFmtId="3" fontId="11" fillId="0" borderId="48" xfId="0" applyNumberFormat="1" applyFont="1" applyBorder="1" applyAlignment="1">
      <alignment vertical="center" wrapText="1"/>
    </xf>
    <xf numFmtId="3" fontId="11" fillId="0" borderId="5" xfId="0" applyNumberFormat="1" applyFont="1" applyBorder="1" applyAlignment="1">
      <alignment vertical="center" wrapText="1"/>
    </xf>
    <xf numFmtId="3" fontId="13" fillId="0" borderId="23" xfId="1" applyNumberFormat="1" applyFont="1" applyBorder="1" applyAlignment="1">
      <alignment vertical="center" wrapText="1"/>
    </xf>
    <xf numFmtId="3" fontId="13" fillId="0" borderId="31" xfId="1" applyNumberFormat="1" applyFont="1" applyBorder="1" applyAlignment="1">
      <alignment vertical="center" wrapText="1"/>
    </xf>
    <xf numFmtId="3" fontId="11" fillId="0" borderId="47" xfId="1" applyNumberFormat="1" applyBorder="1" applyAlignment="1">
      <alignment vertical="center" wrapText="1"/>
    </xf>
    <xf numFmtId="3" fontId="11" fillId="0" borderId="41" xfId="1" applyNumberFormat="1" applyBorder="1" applyAlignment="1">
      <alignment vertical="center" wrapText="1"/>
    </xf>
    <xf numFmtId="3" fontId="13" fillId="0" borderId="28" xfId="1" applyNumberFormat="1" applyFont="1" applyBorder="1" applyAlignment="1">
      <alignment vertical="center" wrapText="1"/>
    </xf>
    <xf numFmtId="3" fontId="11" fillId="0" borderId="64" xfId="1" applyNumberFormat="1" applyBorder="1" applyAlignment="1">
      <alignment vertical="center" wrapText="1"/>
    </xf>
    <xf numFmtId="3" fontId="11" fillId="0" borderId="29" xfId="1" applyNumberFormat="1" applyBorder="1" applyAlignment="1">
      <alignment vertical="center" wrapText="1"/>
    </xf>
    <xf numFmtId="3" fontId="11" fillId="0" borderId="71" xfId="0" applyNumberFormat="1" applyFont="1" applyBorder="1" applyAlignment="1">
      <alignment vertical="center" wrapText="1"/>
    </xf>
    <xf numFmtId="3" fontId="11" fillId="0" borderId="73" xfId="0" applyNumberFormat="1" applyFont="1" applyBorder="1" applyAlignment="1">
      <alignment vertical="center" wrapText="1"/>
    </xf>
    <xf numFmtId="3" fontId="11" fillId="0" borderId="22" xfId="0" applyNumberFormat="1" applyFont="1" applyBorder="1" applyAlignment="1">
      <alignment horizontal="right" vertical="center" wrapText="1"/>
    </xf>
    <xf numFmtId="3" fontId="11" fillId="0" borderId="32" xfId="1" applyNumberFormat="1" applyBorder="1" applyAlignment="1">
      <alignment vertical="center" wrapText="1"/>
    </xf>
    <xf numFmtId="3" fontId="11" fillId="0" borderId="16" xfId="1" applyNumberFormat="1" applyBorder="1" applyAlignment="1">
      <alignment horizontal="center" vertical="center" wrapText="1"/>
    </xf>
    <xf numFmtId="3" fontId="13" fillId="0" borderId="4" xfId="1" applyNumberFormat="1" applyFont="1" applyBorder="1" applyAlignment="1">
      <alignment vertical="center" wrapText="1"/>
    </xf>
    <xf numFmtId="3" fontId="11" fillId="0" borderId="62" xfId="1" applyNumberFormat="1" applyBorder="1" applyAlignment="1">
      <alignment vertical="center" wrapText="1"/>
    </xf>
    <xf numFmtId="3" fontId="11" fillId="0" borderId="53" xfId="0" applyNumberFormat="1" applyFont="1" applyBorder="1" applyAlignment="1">
      <alignment vertical="center" wrapText="1"/>
    </xf>
    <xf numFmtId="3" fontId="11" fillId="0" borderId="50" xfId="0" applyNumberFormat="1" applyFont="1" applyBorder="1" applyAlignment="1">
      <alignment vertical="center" wrapText="1"/>
    </xf>
    <xf numFmtId="3" fontId="21" fillId="0" borderId="31" xfId="1" applyNumberFormat="1" applyFont="1" applyBorder="1" applyAlignment="1">
      <alignment vertical="center" wrapText="1"/>
    </xf>
    <xf numFmtId="3" fontId="20" fillId="0" borderId="47" xfId="1" applyNumberFormat="1" applyFont="1" applyBorder="1" applyAlignment="1">
      <alignment vertical="center" wrapText="1"/>
    </xf>
    <xf numFmtId="3" fontId="20" fillId="0" borderId="41" xfId="1" applyNumberFormat="1" applyFont="1" applyBorder="1" applyAlignment="1">
      <alignment vertical="center" wrapText="1"/>
    </xf>
    <xf numFmtId="3" fontId="20" fillId="0" borderId="36" xfId="0" applyNumberFormat="1" applyFont="1" applyBorder="1" applyAlignment="1">
      <alignment vertical="center" wrapText="1"/>
    </xf>
    <xf numFmtId="3" fontId="20" fillId="0" borderId="37" xfId="0" applyNumberFormat="1" applyFont="1" applyBorder="1" applyAlignment="1">
      <alignment vertical="center" wrapText="1"/>
    </xf>
    <xf numFmtId="3" fontId="20" fillId="0" borderId="26" xfId="0" applyNumberFormat="1" applyFont="1" applyBorder="1" applyAlignment="1">
      <alignment horizontal="right" vertical="center" wrapText="1"/>
    </xf>
    <xf numFmtId="3" fontId="18" fillId="0" borderId="31" xfId="1" applyNumberFormat="1" applyFont="1" applyBorder="1" applyAlignment="1">
      <alignment vertical="center" wrapText="1"/>
    </xf>
    <xf numFmtId="3" fontId="17" fillId="0" borderId="47" xfId="1" applyNumberFormat="1" applyFont="1" applyBorder="1" applyAlignment="1">
      <alignment vertical="center" wrapText="1"/>
    </xf>
    <xf numFmtId="3" fontId="17" fillId="0" borderId="41" xfId="1" applyNumberFormat="1" applyFont="1" applyBorder="1" applyAlignment="1">
      <alignment vertical="center" wrapText="1"/>
    </xf>
    <xf numFmtId="3" fontId="17" fillId="0" borderId="36" xfId="0" applyNumberFormat="1" applyFont="1" applyBorder="1" applyAlignment="1">
      <alignment vertical="center" wrapText="1"/>
    </xf>
    <xf numFmtId="3" fontId="17" fillId="0" borderId="37" xfId="0" applyNumberFormat="1" applyFont="1" applyBorder="1" applyAlignment="1">
      <alignment vertical="center" wrapText="1"/>
    </xf>
    <xf numFmtId="3" fontId="11" fillId="0" borderId="19" xfId="0" applyNumberFormat="1" applyFont="1" applyBorder="1" applyAlignment="1">
      <alignment vertical="center" wrapText="1"/>
    </xf>
    <xf numFmtId="3" fontId="18" fillId="0" borderId="12" xfId="1" applyNumberFormat="1" applyFont="1" applyBorder="1" applyAlignment="1">
      <alignment vertical="center" wrapText="1"/>
    </xf>
    <xf numFmtId="3" fontId="17" fillId="0" borderId="55" xfId="1" applyNumberFormat="1" applyFont="1" applyBorder="1" applyAlignment="1">
      <alignment vertical="center" wrapText="1"/>
    </xf>
    <xf numFmtId="3" fontId="17" fillId="0" borderId="57" xfId="1" applyNumberFormat="1" applyFont="1" applyBorder="1" applyAlignment="1">
      <alignment vertical="center" wrapText="1"/>
    </xf>
    <xf numFmtId="3" fontId="17" fillId="0" borderId="38" xfId="0" applyNumberFormat="1" applyFont="1" applyBorder="1" applyAlignment="1">
      <alignment vertical="center" wrapText="1"/>
    </xf>
    <xf numFmtId="3" fontId="17" fillId="0" borderId="5" xfId="0" applyNumberFormat="1" applyFont="1" applyBorder="1" applyAlignment="1">
      <alignment vertical="center" wrapText="1"/>
    </xf>
    <xf numFmtId="3" fontId="18" fillId="0" borderId="15" xfId="1" applyNumberFormat="1" applyFont="1" applyBorder="1" applyAlignment="1">
      <alignment horizontal="right" vertical="center" wrapText="1"/>
    </xf>
    <xf numFmtId="3" fontId="11" fillId="0" borderId="51" xfId="1" applyNumberFormat="1" applyBorder="1" applyAlignment="1">
      <alignment horizontal="right" vertical="center" wrapText="1"/>
    </xf>
    <xf numFmtId="3" fontId="17" fillId="0" borderId="12" xfId="0" applyNumberFormat="1" applyFont="1" applyBorder="1" applyAlignment="1">
      <alignment horizontal="right" vertical="center"/>
    </xf>
    <xf numFmtId="3" fontId="17" fillId="0" borderId="55" xfId="0" applyNumberFormat="1" applyFont="1" applyBorder="1" applyAlignment="1">
      <alignment horizontal="right" vertical="center"/>
    </xf>
    <xf numFmtId="3" fontId="17" fillId="0" borderId="57" xfId="0" applyNumberFormat="1" applyFont="1" applyBorder="1" applyAlignment="1">
      <alignment horizontal="right" vertical="center"/>
    </xf>
    <xf numFmtId="3" fontId="17" fillId="0" borderId="5" xfId="0" applyNumberFormat="1" applyFont="1" applyBorder="1" applyAlignment="1">
      <alignment horizontal="right" vertical="center" wrapText="1"/>
    </xf>
    <xf numFmtId="3" fontId="11" fillId="0" borderId="30" xfId="0" applyNumberFormat="1" applyFont="1" applyBorder="1" applyAlignment="1">
      <alignment horizontal="right" vertical="center"/>
    </xf>
    <xf numFmtId="3" fontId="11" fillId="0" borderId="68" xfId="0" applyNumberFormat="1" applyFont="1" applyBorder="1" applyAlignment="1">
      <alignment horizontal="right" vertical="center"/>
    </xf>
    <xf numFmtId="3" fontId="11" fillId="0" borderId="52" xfId="0" applyNumberFormat="1" applyFont="1" applyBorder="1" applyAlignment="1">
      <alignment horizontal="right" vertical="center"/>
    </xf>
    <xf numFmtId="3" fontId="11" fillId="0" borderId="74" xfId="0" applyNumberFormat="1" applyFont="1" applyBorder="1" applyAlignment="1">
      <alignment horizontal="right" vertical="center"/>
    </xf>
    <xf numFmtId="3" fontId="11" fillId="0" borderId="25" xfId="0" applyNumberFormat="1" applyFont="1" applyBorder="1" applyAlignment="1">
      <alignment horizontal="right" vertical="center"/>
    </xf>
    <xf numFmtId="3" fontId="11" fillId="0" borderId="58" xfId="0" applyNumberFormat="1" applyFont="1" applyBorder="1" applyAlignment="1">
      <alignment horizontal="right" vertical="center"/>
    </xf>
    <xf numFmtId="3" fontId="11" fillId="0" borderId="75" xfId="0" applyNumberFormat="1" applyFont="1" applyBorder="1" applyAlignment="1">
      <alignment horizontal="right" vertical="center"/>
    </xf>
    <xf numFmtId="3" fontId="17" fillId="0" borderId="25" xfId="0" applyNumberFormat="1" applyFont="1" applyBorder="1" applyAlignment="1">
      <alignment horizontal="right" vertical="center"/>
    </xf>
    <xf numFmtId="3" fontId="17" fillId="0" borderId="58" xfId="0" applyNumberFormat="1" applyFont="1" applyBorder="1" applyAlignment="1">
      <alignment horizontal="right" vertical="center"/>
    </xf>
    <xf numFmtId="3" fontId="17" fillId="0" borderId="75" xfId="0" applyNumberFormat="1" applyFont="1" applyBorder="1" applyAlignment="1">
      <alignment horizontal="right" vertical="center"/>
    </xf>
    <xf numFmtId="3" fontId="17" fillId="0" borderId="44" xfId="0" applyNumberFormat="1" applyFont="1" applyBorder="1" applyAlignment="1">
      <alignment horizontal="right" vertical="center" wrapText="1"/>
    </xf>
    <xf numFmtId="3" fontId="17" fillId="0" borderId="30" xfId="0" applyNumberFormat="1" applyFont="1" applyBorder="1" applyAlignment="1">
      <alignment horizontal="right" vertical="center"/>
    </xf>
    <xf numFmtId="3" fontId="17" fillId="0" borderId="68" xfId="0" applyNumberFormat="1" applyFont="1" applyBorder="1" applyAlignment="1">
      <alignment horizontal="right" vertical="center"/>
    </xf>
    <xf numFmtId="3" fontId="17" fillId="0" borderId="52" xfId="0" applyNumberFormat="1" applyFont="1" applyBorder="1" applyAlignment="1">
      <alignment horizontal="right" vertical="center"/>
    </xf>
    <xf numFmtId="3" fontId="17" fillId="0" borderId="74" xfId="0" applyNumberFormat="1" applyFont="1" applyBorder="1" applyAlignment="1">
      <alignment horizontal="right" vertical="center"/>
    </xf>
    <xf numFmtId="3" fontId="15" fillId="0" borderId="25" xfId="0" applyNumberFormat="1" applyFont="1" applyBorder="1" applyAlignment="1">
      <alignment horizontal="right" vertical="center"/>
    </xf>
    <xf numFmtId="3" fontId="15" fillId="0" borderId="58" xfId="0" applyNumberFormat="1" applyFont="1" applyBorder="1" applyAlignment="1">
      <alignment horizontal="right" vertical="center"/>
    </xf>
    <xf numFmtId="3" fontId="15" fillId="0" borderId="75" xfId="0" applyNumberFormat="1" applyFont="1" applyBorder="1" applyAlignment="1">
      <alignment horizontal="right" vertical="center"/>
    </xf>
    <xf numFmtId="3" fontId="15" fillId="0" borderId="44" xfId="0" applyNumberFormat="1" applyFont="1" applyBorder="1" applyAlignment="1">
      <alignment horizontal="right" vertical="center" wrapText="1"/>
    </xf>
    <xf numFmtId="3" fontId="17" fillId="0" borderId="31" xfId="0" applyNumberFormat="1" applyFont="1" applyBorder="1" applyAlignment="1">
      <alignment horizontal="right" vertical="center"/>
    </xf>
    <xf numFmtId="3" fontId="17" fillId="0" borderId="47" xfId="0" applyNumberFormat="1" applyFont="1" applyBorder="1" applyAlignment="1">
      <alignment horizontal="right" vertical="center"/>
    </xf>
    <xf numFmtId="3" fontId="17" fillId="0" borderId="41" xfId="0" applyNumberFormat="1" applyFont="1" applyBorder="1" applyAlignment="1">
      <alignment horizontal="right" vertical="center"/>
    </xf>
    <xf numFmtId="3" fontId="19" fillId="0" borderId="25" xfId="0" applyNumberFormat="1" applyFont="1" applyBorder="1" applyAlignment="1">
      <alignment horizontal="right" vertical="center"/>
    </xf>
    <xf numFmtId="3" fontId="19" fillId="0" borderId="58" xfId="0" applyNumberFormat="1" applyFont="1" applyBorder="1" applyAlignment="1">
      <alignment horizontal="right" vertical="center"/>
    </xf>
    <xf numFmtId="3" fontId="19" fillId="0" borderId="75" xfId="0" applyNumberFormat="1" applyFont="1" applyBorder="1" applyAlignment="1">
      <alignment horizontal="right" vertical="center"/>
    </xf>
    <xf numFmtId="3" fontId="11" fillId="0" borderId="12" xfId="0" applyNumberFormat="1" applyFont="1" applyBorder="1" applyAlignment="1">
      <alignment horizontal="right" vertical="center"/>
    </xf>
    <xf numFmtId="3" fontId="11" fillId="0" borderId="55" xfId="0" applyNumberFormat="1" applyFont="1" applyBorder="1" applyAlignment="1">
      <alignment horizontal="right" vertical="center"/>
    </xf>
    <xf numFmtId="3" fontId="11" fillId="0" borderId="57" xfId="0" applyNumberFormat="1" applyFont="1" applyBorder="1" applyAlignment="1">
      <alignment horizontal="right" vertical="center"/>
    </xf>
    <xf numFmtId="3" fontId="20" fillId="0" borderId="36" xfId="0" applyNumberFormat="1" applyFont="1" applyBorder="1" applyAlignment="1">
      <alignment horizontal="right" vertical="center" wrapText="1"/>
    </xf>
    <xf numFmtId="3" fontId="11" fillId="0" borderId="60" xfId="0" applyNumberFormat="1" applyFont="1" applyBorder="1" applyAlignment="1">
      <alignment horizontal="right" vertical="center"/>
    </xf>
    <xf numFmtId="3" fontId="11" fillId="0" borderId="17" xfId="0" applyNumberFormat="1" applyFont="1" applyBorder="1" applyAlignment="1">
      <alignment horizontal="right" vertical="center"/>
    </xf>
    <xf numFmtId="3" fontId="17" fillId="0" borderId="23" xfId="0" applyNumberFormat="1" applyFont="1" applyBorder="1" applyAlignment="1">
      <alignment horizontal="right" vertical="center"/>
    </xf>
    <xf numFmtId="3" fontId="17" fillId="0" borderId="44" xfId="0" applyNumberFormat="1" applyFont="1" applyBorder="1" applyAlignment="1">
      <alignment horizontal="right" vertical="center"/>
    </xf>
    <xf numFmtId="3" fontId="17" fillId="0" borderId="51" xfId="0" applyNumberFormat="1" applyFont="1" applyBorder="1" applyAlignment="1">
      <alignment horizontal="right" vertical="center"/>
    </xf>
    <xf numFmtId="3" fontId="11" fillId="0" borderId="47" xfId="0" applyNumberFormat="1" applyFont="1" applyBorder="1" applyAlignment="1">
      <alignment horizontal="right" vertical="center"/>
    </xf>
    <xf numFmtId="3" fontId="11" fillId="0" borderId="41" xfId="0" applyNumberFormat="1" applyFont="1" applyBorder="1" applyAlignment="1">
      <alignment horizontal="right" vertical="center"/>
    </xf>
    <xf numFmtId="3" fontId="11" fillId="0" borderId="36" xfId="0" applyNumberFormat="1" applyFont="1" applyBorder="1" applyAlignment="1">
      <alignment horizontal="right" vertical="center"/>
    </xf>
    <xf numFmtId="3" fontId="11" fillId="0" borderId="42" xfId="0" applyNumberFormat="1" applyFont="1" applyBorder="1" applyAlignment="1">
      <alignment horizontal="right" vertical="center"/>
    </xf>
    <xf numFmtId="3" fontId="11" fillId="0" borderId="44" xfId="0" applyNumberFormat="1" applyFont="1" applyBorder="1" applyAlignment="1">
      <alignment horizontal="right" vertical="center"/>
    </xf>
    <xf numFmtId="3" fontId="11" fillId="0" borderId="73" xfId="0" applyNumberFormat="1" applyFont="1" applyBorder="1" applyAlignment="1">
      <alignment horizontal="right" vertical="center" wrapText="1"/>
    </xf>
    <xf numFmtId="3" fontId="19" fillId="0" borderId="47" xfId="0" applyNumberFormat="1" applyFont="1" applyBorder="1" applyAlignment="1">
      <alignment horizontal="right" vertical="center"/>
    </xf>
    <xf numFmtId="3" fontId="19" fillId="0" borderId="41" xfId="0" applyNumberFormat="1" applyFont="1" applyBorder="1" applyAlignment="1">
      <alignment horizontal="right" vertical="center"/>
    </xf>
    <xf numFmtId="3" fontId="19" fillId="0" borderId="36" xfId="0" applyNumberFormat="1" applyFont="1" applyBorder="1" applyAlignment="1">
      <alignment horizontal="right" vertical="center"/>
    </xf>
    <xf numFmtId="3" fontId="19" fillId="0" borderId="42" xfId="0" applyNumberFormat="1" applyFont="1" applyBorder="1" applyAlignment="1">
      <alignment horizontal="right" vertical="center"/>
    </xf>
    <xf numFmtId="3" fontId="20" fillId="0" borderId="42" xfId="0" applyNumberFormat="1" applyFont="1" applyBorder="1" applyAlignment="1">
      <alignment horizontal="right" vertical="center"/>
    </xf>
    <xf numFmtId="3" fontId="17" fillId="0" borderId="60" xfId="0" applyNumberFormat="1" applyFont="1" applyBorder="1" applyAlignment="1">
      <alignment horizontal="right" vertical="center"/>
    </xf>
    <xf numFmtId="3" fontId="17" fillId="0" borderId="17" xfId="0" applyNumberFormat="1" applyFont="1" applyBorder="1" applyAlignment="1">
      <alignment horizontal="right" vertical="center"/>
    </xf>
    <xf numFmtId="3" fontId="17" fillId="0" borderId="54" xfId="0" applyNumberFormat="1" applyFont="1" applyBorder="1" applyAlignment="1">
      <alignment horizontal="right" vertical="center"/>
    </xf>
    <xf numFmtId="3" fontId="17" fillId="0" borderId="61" xfId="0" applyNumberFormat="1" applyFont="1" applyBorder="1" applyAlignment="1">
      <alignment horizontal="right" vertical="center"/>
    </xf>
    <xf numFmtId="3" fontId="15" fillId="0" borderId="23" xfId="0" applyNumberFormat="1" applyFont="1" applyBorder="1" applyAlignment="1">
      <alignment horizontal="right" vertical="center"/>
    </xf>
    <xf numFmtId="3" fontId="15" fillId="0" borderId="44" xfId="0" applyNumberFormat="1" applyFont="1" applyBorder="1" applyAlignment="1">
      <alignment horizontal="right" vertical="center"/>
    </xf>
    <xf numFmtId="3" fontId="15" fillId="0" borderId="51" xfId="0" applyNumberFormat="1" applyFont="1" applyBorder="1" applyAlignment="1">
      <alignment horizontal="right" vertical="center"/>
    </xf>
    <xf numFmtId="3" fontId="11" fillId="0" borderId="54" xfId="0" applyNumberFormat="1" applyFont="1" applyBorder="1" applyAlignment="1">
      <alignment horizontal="right" vertical="center"/>
    </xf>
    <xf numFmtId="3" fontId="17" fillId="0" borderId="32" xfId="0" applyNumberFormat="1" applyFont="1" applyBorder="1" applyAlignment="1">
      <alignment horizontal="right" vertical="center"/>
    </xf>
    <xf numFmtId="3" fontId="17" fillId="0" borderId="36" xfId="0" applyNumberFormat="1" applyFont="1" applyBorder="1" applyAlignment="1">
      <alignment horizontal="right" vertical="center"/>
    </xf>
    <xf numFmtId="3" fontId="11" fillId="0" borderId="45" xfId="0" applyNumberFormat="1" applyFont="1" applyBorder="1" applyAlignment="1">
      <alignment horizontal="right" vertical="center"/>
    </xf>
    <xf numFmtId="3" fontId="11" fillId="0" borderId="64" xfId="0" applyNumberFormat="1" applyFont="1" applyBorder="1" applyAlignment="1">
      <alignment horizontal="right" vertical="center"/>
    </xf>
    <xf numFmtId="3" fontId="11" fillId="0" borderId="29" xfId="0" applyNumberFormat="1" applyFont="1" applyBorder="1" applyAlignment="1">
      <alignment horizontal="right" vertical="center"/>
    </xf>
    <xf numFmtId="3" fontId="11" fillId="0" borderId="71" xfId="0" applyNumberFormat="1" applyFont="1" applyBorder="1" applyAlignment="1">
      <alignment horizontal="right" vertical="center"/>
    </xf>
    <xf numFmtId="3" fontId="11" fillId="0" borderId="73" xfId="0" applyNumberFormat="1" applyFont="1" applyBorder="1" applyAlignment="1">
      <alignment horizontal="right" vertical="center"/>
    </xf>
    <xf numFmtId="3" fontId="19" fillId="0" borderId="32" xfId="0" applyNumberFormat="1" applyFont="1" applyBorder="1" applyAlignment="1">
      <alignment horizontal="right" vertical="center"/>
    </xf>
    <xf numFmtId="3" fontId="19" fillId="0" borderId="37" xfId="0" applyNumberFormat="1" applyFont="1" applyBorder="1" applyAlignment="1">
      <alignment horizontal="right" vertical="center"/>
    </xf>
    <xf numFmtId="3" fontId="11" fillId="0" borderId="19" xfId="0" applyNumberFormat="1" applyFont="1" applyBorder="1" applyAlignment="1">
      <alignment horizontal="right" vertical="center"/>
    </xf>
    <xf numFmtId="3" fontId="15" fillId="0" borderId="26" xfId="0" applyNumberFormat="1" applyFont="1" applyBorder="1" applyAlignment="1">
      <alignment horizontal="right" vertical="center"/>
    </xf>
    <xf numFmtId="3" fontId="15" fillId="0" borderId="47" xfId="0" applyNumberFormat="1" applyFont="1" applyBorder="1" applyAlignment="1">
      <alignment horizontal="right" vertical="center"/>
    </xf>
    <xf numFmtId="3" fontId="15" fillId="0" borderId="32" xfId="0" applyNumberFormat="1" applyFont="1" applyBorder="1" applyAlignment="1">
      <alignment horizontal="right" vertical="center"/>
    </xf>
    <xf numFmtId="3" fontId="15" fillId="0" borderId="36" xfId="0" applyNumberFormat="1" applyFont="1" applyBorder="1" applyAlignment="1">
      <alignment horizontal="right" vertical="center"/>
    </xf>
    <xf numFmtId="3" fontId="17" fillId="0" borderId="37" xfId="0" applyNumberFormat="1" applyFont="1" applyBorder="1" applyAlignment="1">
      <alignment horizontal="right" vertical="center"/>
    </xf>
    <xf numFmtId="3" fontId="11" fillId="0" borderId="32" xfId="0" applyNumberFormat="1" applyFont="1" applyBorder="1" applyAlignment="1">
      <alignment horizontal="right" vertical="center"/>
    </xf>
    <xf numFmtId="3" fontId="11" fillId="0" borderId="37" xfId="0" applyNumberFormat="1" applyFont="1" applyBorder="1" applyAlignment="1">
      <alignment horizontal="right" vertical="center"/>
    </xf>
    <xf numFmtId="3" fontId="11" fillId="0" borderId="27" xfId="0" applyNumberFormat="1" applyFont="1" applyBorder="1" applyAlignment="1">
      <alignment horizontal="right" vertical="center"/>
    </xf>
    <xf numFmtId="3" fontId="11" fillId="0" borderId="24" xfId="0" applyNumberFormat="1" applyFont="1" applyBorder="1" applyAlignment="1">
      <alignment horizontal="right" vertical="center"/>
    </xf>
    <xf numFmtId="3" fontId="11" fillId="0" borderId="72" xfId="1" applyNumberFormat="1" applyBorder="1" applyAlignment="1">
      <alignment horizontal="right" vertical="center" wrapText="1"/>
    </xf>
    <xf numFmtId="3" fontId="11" fillId="0" borderId="1" xfId="1" applyNumberFormat="1" applyBorder="1" applyAlignment="1">
      <alignment horizontal="right" vertical="center" wrapText="1"/>
    </xf>
    <xf numFmtId="3" fontId="11" fillId="0" borderId="16" xfId="0" applyNumberFormat="1" applyFont="1" applyBorder="1" applyAlignment="1">
      <alignment horizontal="right" vertical="center" wrapText="1"/>
    </xf>
    <xf numFmtId="3" fontId="13" fillId="0" borderId="14" xfId="0" applyNumberFormat="1" applyFont="1" applyBorder="1" applyAlignment="1">
      <alignment horizontal="right" vertical="center" wrapText="1"/>
    </xf>
    <xf numFmtId="3" fontId="11" fillId="0" borderId="1" xfId="0" applyNumberFormat="1" applyFont="1" applyBorder="1" applyAlignment="1">
      <alignment horizontal="right" vertical="center" wrapText="1"/>
    </xf>
    <xf numFmtId="3" fontId="13" fillId="0" borderId="26" xfId="0" applyNumberFormat="1" applyFont="1" applyBorder="1" applyAlignment="1">
      <alignment horizontal="right" vertical="center" wrapText="1"/>
    </xf>
    <xf numFmtId="3" fontId="11" fillId="0" borderId="32" xfId="0" applyNumberFormat="1" applyFont="1" applyBorder="1" applyAlignment="1">
      <alignment horizontal="right" vertical="center" wrapText="1"/>
    </xf>
    <xf numFmtId="3" fontId="13" fillId="0" borderId="23" xfId="0" applyNumberFormat="1" applyFont="1" applyBorder="1" applyAlignment="1">
      <alignment horizontal="right" vertical="center" wrapText="1"/>
    </xf>
    <xf numFmtId="3" fontId="11" fillId="0" borderId="24" xfId="0" applyNumberFormat="1" applyFont="1" applyBorder="1" applyAlignment="1">
      <alignment horizontal="right" vertical="center" wrapText="1"/>
    </xf>
    <xf numFmtId="3" fontId="13" fillId="0" borderId="13" xfId="0" applyNumberFormat="1" applyFont="1" applyBorder="1" applyAlignment="1">
      <alignment horizontal="right" vertical="center" wrapText="1"/>
    </xf>
    <xf numFmtId="3" fontId="11" fillId="0" borderId="45" xfId="0" applyNumberFormat="1" applyFont="1" applyBorder="1" applyAlignment="1">
      <alignment horizontal="right" vertical="center" wrapText="1"/>
    </xf>
    <xf numFmtId="3" fontId="13" fillId="0" borderId="2" xfId="0" applyNumberFormat="1" applyFont="1" applyBorder="1" applyAlignment="1">
      <alignment horizontal="right" vertical="center" wrapText="1"/>
    </xf>
    <xf numFmtId="3" fontId="18" fillId="0" borderId="18" xfId="0" applyNumberFormat="1" applyFont="1" applyBorder="1" applyAlignment="1">
      <alignment horizontal="right" vertical="center" wrapText="1"/>
    </xf>
    <xf numFmtId="3" fontId="17" fillId="0" borderId="55" xfId="0" applyNumberFormat="1" applyFont="1" applyBorder="1" applyAlignment="1">
      <alignment horizontal="right" vertical="center" wrapText="1"/>
    </xf>
    <xf numFmtId="3" fontId="17" fillId="0" borderId="6" xfId="0" applyNumberFormat="1" applyFont="1" applyBorder="1" applyAlignment="1">
      <alignment horizontal="right" vertical="center" wrapText="1"/>
    </xf>
    <xf numFmtId="3" fontId="18" fillId="0" borderId="18" xfId="0" applyNumberFormat="1" applyFont="1" applyBorder="1" applyAlignment="1">
      <alignment vertical="center" wrapText="1"/>
    </xf>
    <xf numFmtId="3" fontId="18" fillId="0" borderId="13" xfId="0" applyNumberFormat="1" applyFont="1" applyBorder="1" applyAlignment="1">
      <alignment horizontal="right" vertical="center"/>
    </xf>
    <xf numFmtId="49" fontId="13" fillId="0" borderId="26" xfId="0" applyNumberFormat="1" applyFont="1" applyBorder="1" applyAlignment="1">
      <alignment horizontal="center" vertical="center" wrapText="1" shrinkToFit="1"/>
    </xf>
    <xf numFmtId="0" fontId="14" fillId="0" borderId="31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11" fillId="0" borderId="32" xfId="1" applyBorder="1" applyAlignment="1">
      <alignment horizontal="center" vertical="center" wrapText="1"/>
    </xf>
    <xf numFmtId="0" fontId="11" fillId="0" borderId="26" xfId="1" applyBorder="1" applyAlignment="1">
      <alignment horizontal="center" vertical="center" wrapText="1"/>
    </xf>
    <xf numFmtId="49" fontId="13" fillId="0" borderId="14" xfId="0" applyNumberFormat="1" applyFont="1" applyBorder="1" applyAlignment="1">
      <alignment horizontal="center" vertical="center" wrapText="1" shrinkToFit="1"/>
    </xf>
    <xf numFmtId="0" fontId="14" fillId="0" borderId="30" xfId="0" applyFont="1" applyBorder="1" applyAlignment="1">
      <alignment horizontal="center" vertical="center" wrapText="1"/>
    </xf>
    <xf numFmtId="3" fontId="13" fillId="0" borderId="14" xfId="1" applyNumberFormat="1" applyFont="1" applyBorder="1" applyAlignment="1">
      <alignment vertical="center" wrapText="1"/>
    </xf>
    <xf numFmtId="49" fontId="13" fillId="0" borderId="6" xfId="0" applyNumberFormat="1" applyFont="1" applyBorder="1" applyAlignment="1">
      <alignment horizontal="center" vertical="center" wrapText="1" shrinkToFit="1"/>
    </xf>
    <xf numFmtId="0" fontId="14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8" xfId="1" applyBorder="1" applyAlignment="1">
      <alignment horizontal="center" vertical="center" wrapText="1"/>
    </xf>
    <xf numFmtId="3" fontId="13" fillId="0" borderId="18" xfId="1" applyNumberFormat="1" applyFont="1" applyBorder="1" applyAlignment="1">
      <alignment vertical="center" wrapText="1"/>
    </xf>
    <xf numFmtId="49" fontId="13" fillId="0" borderId="23" xfId="0" applyNumberFormat="1" applyFont="1" applyBorder="1" applyAlignment="1">
      <alignment horizontal="center" vertical="center" wrapText="1" shrinkToFit="1"/>
    </xf>
    <xf numFmtId="0" fontId="14" fillId="0" borderId="25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23" xfId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 wrapText="1"/>
    </xf>
    <xf numFmtId="49" fontId="36" fillId="0" borderId="45" xfId="0" applyNumberFormat="1" applyFont="1" applyBorder="1" applyAlignment="1">
      <alignment horizontal="center" vertical="center" wrapText="1" shrinkToFit="1"/>
    </xf>
    <xf numFmtId="0" fontId="39" fillId="0" borderId="19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45" xfId="0" applyFont="1" applyBorder="1" applyAlignment="1">
      <alignment horizontal="center" vertical="center" wrapText="1"/>
    </xf>
    <xf numFmtId="0" fontId="19" fillId="0" borderId="13" xfId="1" applyFont="1" applyBorder="1" applyAlignment="1">
      <alignment horizontal="center" vertical="center" wrapText="1"/>
    </xf>
    <xf numFmtId="3" fontId="36" fillId="0" borderId="13" xfId="1" applyNumberFormat="1" applyFont="1" applyBorder="1" applyAlignment="1">
      <alignment horizontal="right" vertical="center" wrapText="1"/>
    </xf>
    <xf numFmtId="3" fontId="13" fillId="0" borderId="18" xfId="1" applyNumberFormat="1" applyFont="1" applyBorder="1" applyAlignment="1">
      <alignment horizontal="right" vertical="center" wrapText="1"/>
    </xf>
    <xf numFmtId="49" fontId="18" fillId="0" borderId="6" xfId="0" applyNumberFormat="1" applyFont="1" applyBorder="1" applyAlignment="1">
      <alignment horizontal="center" vertical="center" wrapText="1" shrinkToFit="1"/>
    </xf>
    <xf numFmtId="0" fontId="40" fillId="0" borderId="5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18" xfId="1" applyFont="1" applyBorder="1" applyAlignment="1">
      <alignment horizontal="center" vertical="center" wrapText="1"/>
    </xf>
    <xf numFmtId="3" fontId="18" fillId="0" borderId="18" xfId="1" applyNumberFormat="1" applyFont="1" applyBorder="1" applyAlignment="1">
      <alignment horizontal="right" vertical="center" wrapText="1"/>
    </xf>
    <xf numFmtId="49" fontId="13" fillId="0" borderId="13" xfId="0" applyNumberFormat="1" applyFont="1" applyBorder="1" applyAlignment="1">
      <alignment horizontal="center" vertical="center" wrapText="1" shrinkToFit="1"/>
    </xf>
    <xf numFmtId="0" fontId="14" fillId="0" borderId="1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45" xfId="0" applyFont="1" applyBorder="1" applyAlignment="1">
      <alignment horizontal="center" vertical="center" wrapText="1"/>
    </xf>
    <xf numFmtId="0" fontId="11" fillId="0" borderId="13" xfId="1" applyBorder="1" applyAlignment="1">
      <alignment horizontal="center" vertical="center" wrapText="1"/>
    </xf>
    <xf numFmtId="49" fontId="13" fillId="0" borderId="24" xfId="0" applyNumberFormat="1" applyFont="1" applyBorder="1" applyAlignment="1">
      <alignment horizontal="center" vertical="center" wrapText="1" shrinkToFit="1"/>
    </xf>
    <xf numFmtId="0" fontId="14" fillId="0" borderId="27" xfId="0" applyFont="1" applyBorder="1" applyAlignment="1">
      <alignment horizontal="center" vertical="center" wrapText="1"/>
    </xf>
    <xf numFmtId="49" fontId="13" fillId="0" borderId="16" xfId="0" applyNumberFormat="1" applyFont="1" applyBorder="1" applyAlignment="1">
      <alignment horizontal="center" vertical="center" wrapText="1" shrinkToFit="1"/>
    </xf>
    <xf numFmtId="0" fontId="11" fillId="0" borderId="16" xfId="0" applyFont="1" applyBorder="1" applyAlignment="1">
      <alignment horizontal="center" vertical="center" wrapText="1"/>
    </xf>
    <xf numFmtId="49" fontId="11" fillId="0" borderId="45" xfId="0" applyNumberFormat="1" applyFont="1" applyBorder="1" applyAlignment="1">
      <alignment horizontal="center" vertical="center" wrapText="1" shrinkToFit="1"/>
    </xf>
    <xf numFmtId="0" fontId="12" fillId="0" borderId="19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/>
    </xf>
    <xf numFmtId="3" fontId="11" fillId="0" borderId="13" xfId="1" applyNumberFormat="1" applyBorder="1" applyAlignment="1">
      <alignment horizontal="center" vertical="center" wrapText="1"/>
    </xf>
    <xf numFmtId="49" fontId="18" fillId="0" borderId="14" xfId="0" applyNumberFormat="1" applyFont="1" applyBorder="1" applyAlignment="1">
      <alignment horizontal="center" vertical="center" wrapText="1" shrinkToFit="1"/>
    </xf>
    <xf numFmtId="0" fontId="40" fillId="0" borderId="30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6" xfId="1" applyFont="1" applyBorder="1" applyAlignment="1">
      <alignment horizontal="center" vertical="center" wrapText="1"/>
    </xf>
    <xf numFmtId="0" fontId="17" fillId="0" borderId="14" xfId="1" applyFont="1" applyBorder="1" applyAlignment="1">
      <alignment horizontal="center" vertical="center" wrapText="1"/>
    </xf>
    <xf numFmtId="3" fontId="18" fillId="0" borderId="14" xfId="1" applyNumberFormat="1" applyFont="1" applyBorder="1" applyAlignment="1">
      <alignment vertical="center" wrapText="1"/>
    </xf>
    <xf numFmtId="0" fontId="11" fillId="0" borderId="24" xfId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166" fontId="13" fillId="0" borderId="23" xfId="0" applyNumberFormat="1" applyFont="1" applyBorder="1" applyAlignment="1">
      <alignment horizontal="center" vertical="center" wrapText="1" shrinkToFit="1"/>
    </xf>
    <xf numFmtId="0" fontId="14" fillId="0" borderId="23" xfId="0" applyFont="1" applyBorder="1" applyAlignment="1">
      <alignment horizontal="center" vertical="center" wrapText="1"/>
    </xf>
    <xf numFmtId="0" fontId="14" fillId="0" borderId="26" xfId="1" applyFont="1" applyBorder="1" applyAlignment="1">
      <alignment horizontal="center" vertical="center" wrapText="1"/>
    </xf>
    <xf numFmtId="3" fontId="13" fillId="0" borderId="26" xfId="1" applyNumberFormat="1" applyFont="1" applyBorder="1" applyAlignment="1">
      <alignment vertical="center" wrapText="1"/>
    </xf>
    <xf numFmtId="0" fontId="14" fillId="0" borderId="26" xfId="0" applyFont="1" applyBorder="1" applyAlignment="1">
      <alignment horizontal="center" vertical="center" wrapText="1"/>
    </xf>
    <xf numFmtId="49" fontId="18" fillId="0" borderId="26" xfId="0" applyNumberFormat="1" applyFont="1" applyBorder="1" applyAlignment="1">
      <alignment horizontal="center" vertical="center" wrapText="1" shrinkToFit="1"/>
    </xf>
    <xf numFmtId="0" fontId="40" fillId="0" borderId="26" xfId="0" applyFont="1" applyBorder="1" applyAlignment="1">
      <alignment horizontal="center" vertical="center" wrapText="1"/>
    </xf>
    <xf numFmtId="0" fontId="17" fillId="0" borderId="26" xfId="0" applyFont="1" applyBorder="1" applyAlignment="1">
      <alignment horizontal="center" vertical="center" wrapText="1"/>
    </xf>
    <xf numFmtId="0" fontId="17" fillId="0" borderId="26" xfId="1" applyFont="1" applyBorder="1" applyAlignment="1">
      <alignment horizontal="center" vertical="center" wrapText="1"/>
    </xf>
    <xf numFmtId="3" fontId="18" fillId="0" borderId="26" xfId="1" applyNumberFormat="1" applyFont="1" applyBorder="1" applyAlignment="1">
      <alignment vertical="center" wrapText="1"/>
    </xf>
    <xf numFmtId="0" fontId="14" fillId="0" borderId="14" xfId="0" applyFont="1" applyBorder="1" applyAlignment="1">
      <alignment horizontal="center" vertical="center" wrapText="1"/>
    </xf>
    <xf numFmtId="49" fontId="13" fillId="0" borderId="18" xfId="0" applyNumberFormat="1" applyFont="1" applyBorder="1" applyAlignment="1">
      <alignment horizontal="center" vertical="center" wrapText="1" shrinkToFit="1"/>
    </xf>
    <xf numFmtId="2" fontId="14" fillId="0" borderId="14" xfId="0" applyNumberFormat="1" applyFont="1" applyBorder="1" applyAlignment="1">
      <alignment horizontal="center" vertical="center" wrapText="1"/>
    </xf>
    <xf numFmtId="49" fontId="36" fillId="0" borderId="6" xfId="0" applyNumberFormat="1" applyFont="1" applyBorder="1" applyAlignment="1">
      <alignment horizontal="center" vertical="center" wrapText="1" shrinkToFit="1"/>
    </xf>
    <xf numFmtId="2" fontId="39" fillId="0" borderId="18" xfId="0" applyNumberFormat="1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18" xfId="1" applyFont="1" applyBorder="1" applyAlignment="1">
      <alignment horizontal="center" vertical="center" wrapText="1"/>
    </xf>
    <xf numFmtId="3" fontId="36" fillId="0" borderId="18" xfId="1" applyNumberFormat="1" applyFont="1" applyBorder="1" applyAlignment="1">
      <alignment vertical="center" wrapText="1"/>
    </xf>
    <xf numFmtId="49" fontId="21" fillId="0" borderId="24" xfId="0" applyNumberFormat="1" applyFont="1" applyBorder="1" applyAlignment="1">
      <alignment horizontal="center" vertical="center" wrapText="1" shrinkToFit="1"/>
    </xf>
    <xf numFmtId="2" fontId="48" fillId="0" borderId="23" xfId="0" applyNumberFormat="1" applyFont="1" applyBorder="1" applyAlignment="1">
      <alignment horizontal="center" vertical="center" wrapText="1"/>
    </xf>
    <xf numFmtId="0" fontId="20" fillId="0" borderId="23" xfId="0" applyFont="1" applyBorder="1" applyAlignment="1">
      <alignment horizontal="center" vertical="center" wrapText="1"/>
    </xf>
    <xf numFmtId="0" fontId="20" fillId="0" borderId="24" xfId="0" applyFont="1" applyBorder="1" applyAlignment="1">
      <alignment horizontal="center" vertical="center" wrapText="1"/>
    </xf>
    <xf numFmtId="0" fontId="20" fillId="0" borderId="23" xfId="1" applyFont="1" applyBorder="1" applyAlignment="1">
      <alignment horizontal="center" vertical="center" wrapText="1"/>
    </xf>
    <xf numFmtId="3" fontId="21" fillId="0" borderId="23" xfId="1" applyNumberFormat="1" applyFont="1" applyBorder="1" applyAlignment="1">
      <alignment vertical="center" wrapText="1"/>
    </xf>
    <xf numFmtId="49" fontId="36" fillId="0" borderId="23" xfId="0" applyNumberFormat="1" applyFont="1" applyBorder="1" applyAlignment="1">
      <alignment horizontal="center" vertical="center" wrapText="1" shrinkToFit="1"/>
    </xf>
    <xf numFmtId="2" fontId="39" fillId="0" borderId="23" xfId="0" applyNumberFormat="1" applyFont="1" applyBorder="1" applyAlignment="1">
      <alignment horizontal="center" vertical="center" wrapText="1"/>
    </xf>
    <xf numFmtId="0" fontId="19" fillId="0" borderId="23" xfId="0" applyFont="1" applyBorder="1" applyAlignment="1">
      <alignment horizontal="center" vertical="center" wrapText="1"/>
    </xf>
    <xf numFmtId="0" fontId="19" fillId="0" borderId="24" xfId="0" applyFont="1" applyBorder="1" applyAlignment="1">
      <alignment horizontal="center" vertical="center" wrapText="1"/>
    </xf>
    <xf numFmtId="0" fontId="19" fillId="0" borderId="23" xfId="1" applyFont="1" applyBorder="1" applyAlignment="1">
      <alignment horizontal="center" vertical="center" wrapText="1"/>
    </xf>
    <xf numFmtId="3" fontId="36" fillId="0" borderId="23" xfId="1" applyNumberFormat="1" applyFont="1" applyBorder="1" applyAlignment="1">
      <alignment vertical="center" wrapText="1"/>
    </xf>
    <xf numFmtId="49" fontId="16" fillId="0" borderId="13" xfId="0" applyNumberFormat="1" applyFont="1" applyBorder="1" applyAlignment="1">
      <alignment horizontal="center" vertical="center" wrapText="1" shrinkToFit="1"/>
    </xf>
    <xf numFmtId="2" fontId="47" fillId="0" borderId="13" xfId="0" applyNumberFormat="1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45" xfId="0" applyFont="1" applyBorder="1" applyAlignment="1">
      <alignment horizontal="center" vertical="center" wrapText="1"/>
    </xf>
    <xf numFmtId="0" fontId="15" fillId="0" borderId="13" xfId="1" applyFont="1" applyBorder="1" applyAlignment="1">
      <alignment horizontal="center" vertical="center" wrapText="1"/>
    </xf>
    <xf numFmtId="3" fontId="16" fillId="0" borderId="13" xfId="1" applyNumberFormat="1" applyFont="1" applyBorder="1" applyAlignment="1">
      <alignment vertical="center" wrapText="1"/>
    </xf>
    <xf numFmtId="49" fontId="21" fillId="0" borderId="23" xfId="0" applyNumberFormat="1" applyFont="1" applyBorder="1" applyAlignment="1">
      <alignment horizontal="center" vertical="center" wrapText="1" shrinkToFit="1"/>
    </xf>
    <xf numFmtId="2" fontId="14" fillId="0" borderId="13" xfId="0" applyNumberFormat="1" applyFont="1" applyBorder="1" applyAlignment="1">
      <alignment horizontal="center" vertical="center" wrapText="1"/>
    </xf>
    <xf numFmtId="3" fontId="13" fillId="0" borderId="13" xfId="1" applyNumberFormat="1" applyFont="1" applyBorder="1" applyAlignment="1">
      <alignment vertical="center" wrapText="1"/>
    </xf>
    <xf numFmtId="2" fontId="14" fillId="0" borderId="26" xfId="0" applyNumberFormat="1" applyFont="1" applyBorder="1" applyAlignment="1">
      <alignment horizontal="center" vertical="center" wrapText="1"/>
    </xf>
    <xf numFmtId="2" fontId="40" fillId="0" borderId="26" xfId="0" applyNumberFormat="1" applyFont="1" applyBorder="1" applyAlignment="1">
      <alignment horizontal="center" vertical="center" wrapText="1"/>
    </xf>
    <xf numFmtId="0" fontId="17" fillId="0" borderId="32" xfId="0" applyFont="1" applyBorder="1" applyAlignment="1">
      <alignment horizontal="center" vertical="center" wrapText="1"/>
    </xf>
    <xf numFmtId="2" fontId="14" fillId="0" borderId="42" xfId="0" applyNumberFormat="1" applyFont="1" applyBorder="1" applyAlignment="1">
      <alignment horizontal="center" vertical="center" wrapText="1"/>
    </xf>
    <xf numFmtId="49" fontId="21" fillId="0" borderId="13" xfId="0" applyNumberFormat="1" applyFont="1" applyBorder="1" applyAlignment="1">
      <alignment horizontal="center" vertical="center" wrapText="1" shrinkToFit="1"/>
    </xf>
    <xf numFmtId="2" fontId="48" fillId="0" borderId="13" xfId="0" applyNumberFormat="1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20" fillId="0" borderId="45" xfId="0" applyFont="1" applyBorder="1" applyAlignment="1">
      <alignment horizontal="center" vertical="center" wrapText="1"/>
    </xf>
    <xf numFmtId="0" fontId="20" fillId="0" borderId="13" xfId="1" applyFont="1" applyBorder="1" applyAlignment="1">
      <alignment horizontal="center" vertical="center" wrapText="1"/>
    </xf>
    <xf numFmtId="3" fontId="21" fillId="0" borderId="13" xfId="1" applyNumberFormat="1" applyFont="1" applyBorder="1" applyAlignment="1">
      <alignment vertical="center" wrapText="1"/>
    </xf>
    <xf numFmtId="2" fontId="14" fillId="0" borderId="23" xfId="0" applyNumberFormat="1" applyFont="1" applyBorder="1" applyAlignment="1">
      <alignment horizontal="center" vertical="center" wrapText="1"/>
    </xf>
    <xf numFmtId="0" fontId="11" fillId="0" borderId="27" xfId="1" applyBorder="1" applyAlignment="1">
      <alignment horizontal="center" vertical="center" wrapText="1"/>
    </xf>
    <xf numFmtId="49" fontId="16" fillId="0" borderId="26" xfId="0" applyNumberFormat="1" applyFont="1" applyBorder="1" applyAlignment="1">
      <alignment horizontal="center" vertical="center" wrapText="1" shrinkToFit="1"/>
    </xf>
    <xf numFmtId="2" fontId="47" fillId="0" borderId="26" xfId="0" applyNumberFormat="1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5" fillId="0" borderId="32" xfId="0" applyFont="1" applyBorder="1" applyAlignment="1">
      <alignment horizontal="center" vertical="center" wrapText="1"/>
    </xf>
    <xf numFmtId="0" fontId="15" fillId="0" borderId="37" xfId="1" applyFont="1" applyBorder="1" applyAlignment="1">
      <alignment horizontal="center" vertical="center" wrapText="1"/>
    </xf>
    <xf numFmtId="3" fontId="16" fillId="0" borderId="26" xfId="1" applyNumberFormat="1" applyFont="1" applyBorder="1" applyAlignment="1">
      <alignment vertical="center" wrapText="1"/>
    </xf>
    <xf numFmtId="0" fontId="11" fillId="0" borderId="19" xfId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15" fillId="0" borderId="27" xfId="1" applyFont="1" applyBorder="1" applyAlignment="1">
      <alignment horizontal="center" vertical="center" wrapText="1"/>
    </xf>
    <xf numFmtId="0" fontId="17" fillId="0" borderId="27" xfId="0" applyFont="1" applyBorder="1" applyAlignment="1">
      <alignment horizontal="center" vertical="center" wrapText="1"/>
    </xf>
    <xf numFmtId="0" fontId="17" fillId="0" borderId="23" xfId="0" applyFont="1" applyBorder="1" applyAlignment="1">
      <alignment horizontal="center" vertical="center" wrapText="1"/>
    </xf>
    <xf numFmtId="0" fontId="17" fillId="0" borderId="27" xfId="1" applyFont="1" applyBorder="1" applyAlignment="1">
      <alignment horizontal="center" vertical="center" wrapText="1"/>
    </xf>
    <xf numFmtId="49" fontId="36" fillId="0" borderId="26" xfId="0" applyNumberFormat="1" applyFont="1" applyBorder="1" applyAlignment="1">
      <alignment horizontal="center" vertical="center" wrapText="1" shrinkToFit="1"/>
    </xf>
    <xf numFmtId="2" fontId="39" fillId="0" borderId="26" xfId="0" applyNumberFormat="1" applyFont="1" applyBorder="1" applyAlignment="1">
      <alignment horizontal="center" vertical="center" wrapText="1"/>
    </xf>
    <xf numFmtId="0" fontId="19" fillId="0" borderId="27" xfId="1" applyFont="1" applyBorder="1" applyAlignment="1">
      <alignment horizontal="center" vertical="center" wrapText="1"/>
    </xf>
    <xf numFmtId="3" fontId="36" fillId="0" borderId="26" xfId="1" applyNumberFormat="1" applyFont="1" applyBorder="1" applyAlignment="1">
      <alignment vertical="center" wrapText="1"/>
    </xf>
    <xf numFmtId="0" fontId="17" fillId="0" borderId="24" xfId="0" applyFont="1" applyBorder="1" applyAlignment="1">
      <alignment horizontal="center" vertical="center" wrapText="1"/>
    </xf>
    <xf numFmtId="49" fontId="16" fillId="0" borderId="23" xfId="0" applyNumberFormat="1" applyFont="1" applyBorder="1" applyAlignment="1">
      <alignment horizontal="center" vertical="center" wrapText="1" shrinkToFit="1"/>
    </xf>
    <xf numFmtId="2" fontId="47" fillId="0" borderId="23" xfId="0" applyNumberFormat="1" applyFont="1" applyBorder="1" applyAlignment="1">
      <alignment horizontal="center" vertical="center" wrapText="1"/>
    </xf>
    <xf numFmtId="3" fontId="16" fillId="0" borderId="23" xfId="1" applyNumberFormat="1" applyFont="1" applyBorder="1" applyAlignment="1">
      <alignment vertical="center" wrapText="1"/>
    </xf>
    <xf numFmtId="49" fontId="18" fillId="0" borderId="13" xfId="0" applyNumberFormat="1" applyFont="1" applyBorder="1" applyAlignment="1">
      <alignment horizontal="center" vertical="center" wrapText="1" shrinkToFit="1"/>
    </xf>
    <xf numFmtId="2" fontId="40" fillId="0" borderId="13" xfId="0" applyNumberFormat="1" applyFont="1" applyBorder="1" applyAlignment="1">
      <alignment horizontal="center" vertical="center" wrapText="1"/>
    </xf>
    <xf numFmtId="0" fontId="17" fillId="0" borderId="19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9" xfId="1" applyFont="1" applyBorder="1" applyAlignment="1">
      <alignment horizontal="center" vertical="center" wrapText="1"/>
    </xf>
    <xf numFmtId="3" fontId="18" fillId="0" borderId="13" xfId="1" applyNumberFormat="1" applyFont="1" applyBorder="1" applyAlignment="1">
      <alignment vertical="center" wrapText="1"/>
    </xf>
    <xf numFmtId="0" fontId="15" fillId="0" borderId="19" xfId="1" applyFont="1" applyBorder="1" applyAlignment="1">
      <alignment horizontal="center" vertical="center" wrapText="1"/>
    </xf>
    <xf numFmtId="2" fontId="15" fillId="0" borderId="23" xfId="0" applyNumberFormat="1" applyFont="1" applyBorder="1" applyAlignment="1">
      <alignment horizontal="center" vertical="center" wrapText="1"/>
    </xf>
    <xf numFmtId="2" fontId="15" fillId="0" borderId="13" xfId="0" applyNumberFormat="1" applyFont="1" applyBorder="1" applyAlignment="1">
      <alignment horizontal="center" vertical="center" wrapText="1"/>
    </xf>
    <xf numFmtId="49" fontId="13" fillId="0" borderId="30" xfId="0" applyNumberFormat="1" applyFont="1" applyBorder="1" applyAlignment="1">
      <alignment horizontal="center" vertical="center" wrapText="1" shrinkToFit="1"/>
    </xf>
    <xf numFmtId="49" fontId="14" fillId="0" borderId="14" xfId="0" applyNumberFormat="1" applyFont="1" applyBorder="1" applyAlignment="1">
      <alignment horizontal="center" vertical="center"/>
    </xf>
    <xf numFmtId="2" fontId="11" fillId="0" borderId="14" xfId="0" applyNumberFormat="1" applyFont="1" applyBorder="1" applyAlignment="1">
      <alignment horizontal="center" vertical="center" wrapText="1"/>
    </xf>
    <xf numFmtId="49" fontId="13" fillId="0" borderId="25" xfId="0" applyNumberFormat="1" applyFont="1" applyBorder="1" applyAlignment="1">
      <alignment horizontal="center" vertical="center" wrapText="1" shrinkToFit="1"/>
    </xf>
    <xf numFmtId="49" fontId="14" fillId="0" borderId="25" xfId="0" applyNumberFormat="1" applyFont="1" applyBorder="1" applyAlignment="1">
      <alignment horizontal="center" vertical="center" wrapText="1"/>
    </xf>
    <xf numFmtId="49" fontId="14" fillId="0" borderId="25" xfId="0" applyNumberFormat="1" applyFont="1" applyBorder="1" applyAlignment="1">
      <alignment horizontal="center" vertical="center"/>
    </xf>
    <xf numFmtId="49" fontId="21" fillId="0" borderId="25" xfId="0" applyNumberFormat="1" applyFont="1" applyBorder="1" applyAlignment="1">
      <alignment horizontal="center" vertical="center" wrapText="1" shrinkToFit="1"/>
    </xf>
    <xf numFmtId="49" fontId="48" fillId="0" borderId="25" xfId="0" applyNumberFormat="1" applyFont="1" applyBorder="1" applyAlignment="1">
      <alignment horizontal="center" vertical="center"/>
    </xf>
    <xf numFmtId="0" fontId="20" fillId="0" borderId="26" xfId="0" applyFont="1" applyBorder="1" applyAlignment="1">
      <alignment horizontal="center" vertical="center" wrapText="1"/>
    </xf>
    <xf numFmtId="49" fontId="48" fillId="0" borderId="15" xfId="0" applyNumberFormat="1" applyFont="1" applyBorder="1" applyAlignment="1">
      <alignment horizontal="center" vertical="center" wrapText="1"/>
    </xf>
    <xf numFmtId="49" fontId="14" fillId="0" borderId="15" xfId="0" applyNumberFormat="1" applyFont="1" applyBorder="1" applyAlignment="1">
      <alignment horizontal="center" vertical="center" wrapText="1"/>
    </xf>
    <xf numFmtId="49" fontId="47" fillId="0" borderId="25" xfId="0" applyNumberFormat="1" applyFont="1" applyBorder="1" applyAlignment="1">
      <alignment horizontal="center" vertical="center" wrapText="1"/>
    </xf>
    <xf numFmtId="49" fontId="34" fillId="0" borderId="26" xfId="0" applyNumberFormat="1" applyFont="1" applyBorder="1" applyAlignment="1">
      <alignment horizontal="center" vertical="center" wrapText="1" shrinkToFit="1"/>
    </xf>
    <xf numFmtId="49" fontId="44" fillId="0" borderId="25" xfId="0" applyNumberFormat="1" applyFont="1" applyBorder="1" applyAlignment="1">
      <alignment horizontal="center" vertical="center" wrapText="1"/>
    </xf>
    <xf numFmtId="0" fontId="25" fillId="0" borderId="23" xfId="0" applyFont="1" applyBorder="1" applyAlignment="1">
      <alignment horizontal="center" vertical="center" wrapText="1"/>
    </xf>
    <xf numFmtId="0" fontId="25" fillId="0" borderId="24" xfId="0" applyFont="1" applyBorder="1" applyAlignment="1">
      <alignment horizontal="center" vertical="center" wrapText="1"/>
    </xf>
    <xf numFmtId="3" fontId="34" fillId="0" borderId="23" xfId="1" applyNumberFormat="1" applyFont="1" applyBorder="1" applyAlignment="1">
      <alignment vertical="center" wrapText="1"/>
    </xf>
    <xf numFmtId="49" fontId="18" fillId="0" borderId="23" xfId="0" applyNumberFormat="1" applyFont="1" applyBorder="1" applyAlignment="1">
      <alignment horizontal="center" vertical="center" wrapText="1" shrinkToFit="1"/>
    </xf>
    <xf numFmtId="49" fontId="40" fillId="0" borderId="25" xfId="0" applyNumberFormat="1" applyFont="1" applyBorder="1" applyAlignment="1">
      <alignment horizontal="center" vertical="center" wrapText="1"/>
    </xf>
    <xf numFmtId="3" fontId="18" fillId="0" borderId="23" xfId="1" applyNumberFormat="1" applyFont="1" applyBorder="1" applyAlignment="1">
      <alignment vertical="center" wrapText="1"/>
    </xf>
    <xf numFmtId="49" fontId="40" fillId="0" borderId="15" xfId="0" applyNumberFormat="1" applyFont="1" applyBorder="1" applyAlignment="1">
      <alignment horizontal="center" vertical="center" wrapText="1"/>
    </xf>
    <xf numFmtId="0" fontId="17" fillId="0" borderId="45" xfId="0" applyFont="1" applyBorder="1" applyAlignment="1">
      <alignment horizontal="center" vertical="center" wrapText="1"/>
    </xf>
    <xf numFmtId="166" fontId="11" fillId="0" borderId="45" xfId="0" applyNumberFormat="1" applyFont="1" applyBorder="1" applyAlignment="1">
      <alignment horizontal="center" vertical="center" wrapText="1" shrinkToFit="1"/>
    </xf>
    <xf numFmtId="0" fontId="12" fillId="0" borderId="15" xfId="0" applyFont="1" applyBorder="1" applyAlignment="1">
      <alignment horizontal="center" vertical="center" wrapText="1"/>
    </xf>
    <xf numFmtId="0" fontId="11" fillId="0" borderId="45" xfId="1" applyBorder="1" applyAlignment="1">
      <alignment horizontal="center" vertical="center" wrapText="1"/>
    </xf>
    <xf numFmtId="49" fontId="18" fillId="0" borderId="30" xfId="0" applyNumberFormat="1" applyFont="1" applyBorder="1" applyAlignment="1">
      <alignment horizontal="center" vertical="center" wrapText="1" shrinkToFit="1"/>
    </xf>
    <xf numFmtId="0" fontId="14" fillId="0" borderId="12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3" fontId="13" fillId="0" borderId="18" xfId="0" applyNumberFormat="1" applyFont="1" applyBorder="1" applyAlignment="1">
      <alignment horizontal="right" vertical="center"/>
    </xf>
    <xf numFmtId="3" fontId="13" fillId="0" borderId="26" xfId="0" applyNumberFormat="1" applyFont="1" applyBorder="1" applyAlignment="1">
      <alignment horizontal="right" vertical="center"/>
    </xf>
    <xf numFmtId="49" fontId="13" fillId="0" borderId="15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3" fontId="13" fillId="0" borderId="14" xfId="0" applyNumberFormat="1" applyFont="1" applyBorder="1" applyAlignment="1">
      <alignment horizontal="right" vertical="center"/>
    </xf>
    <xf numFmtId="49" fontId="18" fillId="0" borderId="30" xfId="0" applyNumberFormat="1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3" fontId="18" fillId="0" borderId="14" xfId="0" applyNumberFormat="1" applyFont="1" applyBorder="1" applyAlignment="1">
      <alignment horizontal="right" vertical="center"/>
    </xf>
    <xf numFmtId="49" fontId="36" fillId="0" borderId="25" xfId="0" applyNumberFormat="1" applyFont="1" applyBorder="1" applyAlignment="1">
      <alignment horizontal="center" vertical="center" wrapText="1"/>
    </xf>
    <xf numFmtId="0" fontId="39" fillId="0" borderId="31" xfId="0" applyFont="1" applyBorder="1" applyAlignment="1">
      <alignment horizontal="center" vertical="center" wrapText="1"/>
    </xf>
    <xf numFmtId="0" fontId="19" fillId="0" borderId="24" xfId="1" applyFont="1" applyBorder="1" applyAlignment="1">
      <alignment horizontal="center" vertical="center" wrapText="1"/>
    </xf>
    <xf numFmtId="3" fontId="36" fillId="0" borderId="23" xfId="0" applyNumberFormat="1" applyFont="1" applyBorder="1" applyAlignment="1">
      <alignment horizontal="right" vertical="center"/>
    </xf>
    <xf numFmtId="3" fontId="13" fillId="0" borderId="23" xfId="0" applyNumberFormat="1" applyFont="1" applyBorder="1" applyAlignment="1">
      <alignment horizontal="right" vertical="center"/>
    </xf>
    <xf numFmtId="3" fontId="13" fillId="0" borderId="13" xfId="0" applyNumberFormat="1" applyFont="1" applyBorder="1" applyAlignment="1">
      <alignment horizontal="right" vertical="center"/>
    </xf>
    <xf numFmtId="0" fontId="19" fillId="0" borderId="26" xfId="0" applyFont="1" applyBorder="1" applyAlignment="1">
      <alignment horizontal="center" vertical="center" wrapText="1"/>
    </xf>
    <xf numFmtId="0" fontId="19" fillId="0" borderId="32" xfId="0" applyFont="1" applyBorder="1" applyAlignment="1">
      <alignment horizontal="center" vertical="center" wrapText="1"/>
    </xf>
    <xf numFmtId="3" fontId="36" fillId="0" borderId="26" xfId="0" applyNumberFormat="1" applyFont="1" applyBorder="1" applyAlignment="1">
      <alignment horizontal="right" vertical="center"/>
    </xf>
    <xf numFmtId="49" fontId="13" fillId="0" borderId="34" xfId="0" applyNumberFormat="1" applyFont="1" applyBorder="1" applyAlignment="1">
      <alignment horizontal="center" vertical="center" wrapText="1"/>
    </xf>
    <xf numFmtId="0" fontId="14" fillId="0" borderId="34" xfId="0" applyFont="1" applyBorder="1" applyAlignment="1">
      <alignment horizontal="center" vertical="center" wrapText="1"/>
    </xf>
    <xf numFmtId="0" fontId="11" fillId="0" borderId="33" xfId="0" applyFont="1" applyBorder="1" applyAlignment="1">
      <alignment horizontal="center" vertical="center" wrapText="1"/>
    </xf>
    <xf numFmtId="0" fontId="11" fillId="0" borderId="35" xfId="0" applyFont="1" applyBorder="1" applyAlignment="1">
      <alignment horizontal="center" vertical="center" wrapText="1"/>
    </xf>
    <xf numFmtId="3" fontId="13" fillId="0" borderId="33" xfId="0" applyNumberFormat="1" applyFont="1" applyBorder="1" applyAlignment="1">
      <alignment horizontal="right" vertical="center"/>
    </xf>
    <xf numFmtId="49" fontId="36" fillId="0" borderId="31" xfId="0" applyNumberFormat="1" applyFont="1" applyBorder="1" applyAlignment="1">
      <alignment horizontal="center" vertical="center" wrapText="1"/>
    </xf>
    <xf numFmtId="0" fontId="19" fillId="0" borderId="33" xfId="0" applyFont="1" applyBorder="1" applyAlignment="1">
      <alignment horizontal="center" vertical="center" wrapText="1"/>
    </xf>
    <xf numFmtId="0" fontId="40" fillId="0" borderId="31" xfId="0" applyFont="1" applyBorder="1" applyAlignment="1">
      <alignment horizontal="center" vertical="center" wrapText="1"/>
    </xf>
    <xf numFmtId="0" fontId="17" fillId="0" borderId="33" xfId="0" applyFont="1" applyBorder="1" applyAlignment="1">
      <alignment horizontal="center" vertical="center" wrapText="1"/>
    </xf>
    <xf numFmtId="3" fontId="18" fillId="0" borderId="26" xfId="0" applyNumberFormat="1" applyFont="1" applyBorder="1" applyAlignment="1">
      <alignment horizontal="right" vertical="center"/>
    </xf>
    <xf numFmtId="3" fontId="36" fillId="0" borderId="26" xfId="0" applyNumberFormat="1" applyFont="1" applyBorder="1" applyAlignment="1">
      <alignment horizontal="right" vertical="center" wrapText="1"/>
    </xf>
    <xf numFmtId="0" fontId="40" fillId="0" borderId="15" xfId="0" applyFont="1" applyBorder="1" applyAlignment="1">
      <alignment horizontal="center" vertical="center" wrapText="1"/>
    </xf>
    <xf numFmtId="3" fontId="18" fillId="0" borderId="13" xfId="0" applyNumberFormat="1" applyFont="1" applyBorder="1" applyAlignment="1">
      <alignment horizontal="right" vertical="center" wrapText="1"/>
    </xf>
    <xf numFmtId="0" fontId="11" fillId="0" borderId="2" xfId="0" applyFont="1" applyBorder="1" applyAlignment="1">
      <alignment horizontal="center" vertical="center" wrapText="1"/>
    </xf>
    <xf numFmtId="3" fontId="11" fillId="0" borderId="14" xfId="0" applyNumberFormat="1" applyFont="1" applyBorder="1" applyAlignment="1">
      <alignment horizontal="center" vertical="center"/>
    </xf>
    <xf numFmtId="4" fontId="18" fillId="0" borderId="26" xfId="0" applyNumberFormat="1" applyFont="1" applyBorder="1" applyAlignment="1">
      <alignment horizontal="center" vertical="center" wrapText="1" shrinkToFit="1"/>
    </xf>
    <xf numFmtId="4" fontId="40" fillId="0" borderId="4" xfId="1" applyNumberFormat="1" applyFont="1" applyBorder="1" applyAlignment="1">
      <alignment horizontal="center" vertical="center" wrapText="1"/>
    </xf>
    <xf numFmtId="4" fontId="17" fillId="0" borderId="2" xfId="0" applyNumberFormat="1" applyFont="1" applyBorder="1" applyAlignment="1">
      <alignment horizontal="center" vertical="center" wrapText="1"/>
    </xf>
    <xf numFmtId="4" fontId="17" fillId="0" borderId="32" xfId="1" applyNumberFormat="1" applyFont="1" applyBorder="1" applyAlignment="1">
      <alignment horizontal="center" vertical="center" wrapText="1"/>
    </xf>
    <xf numFmtId="4" fontId="17" fillId="0" borderId="2" xfId="1" applyNumberFormat="1" applyFont="1" applyBorder="1" applyAlignment="1">
      <alignment horizontal="center" vertical="center" wrapText="1"/>
    </xf>
    <xf numFmtId="3" fontId="18" fillId="0" borderId="2" xfId="1" applyNumberFormat="1" applyFont="1" applyBorder="1" applyAlignment="1">
      <alignment vertical="center" wrapText="1"/>
    </xf>
    <xf numFmtId="0" fontId="14" fillId="0" borderId="25" xfId="1" applyFont="1" applyBorder="1" applyAlignment="1">
      <alignment horizontal="center" vertical="center" wrapText="1"/>
    </xf>
    <xf numFmtId="0" fontId="14" fillId="0" borderId="15" xfId="1" applyFont="1" applyBorder="1" applyAlignment="1">
      <alignment horizontal="center" vertical="center" wrapText="1"/>
    </xf>
    <xf numFmtId="0" fontId="14" fillId="0" borderId="12" xfId="1" applyFont="1" applyBorder="1" applyAlignment="1">
      <alignment horizontal="center" vertical="center" wrapText="1"/>
    </xf>
    <xf numFmtId="0" fontId="11" fillId="0" borderId="6" xfId="1" applyBorder="1" applyAlignment="1">
      <alignment horizontal="center" vertical="center" wrapText="1"/>
    </xf>
    <xf numFmtId="49" fontId="18" fillId="0" borderId="14" xfId="0" applyNumberFormat="1" applyFont="1" applyBorder="1" applyAlignment="1">
      <alignment horizontal="center" vertical="center" shrinkToFit="1"/>
    </xf>
    <xf numFmtId="0" fontId="40" fillId="0" borderId="1" xfId="1" applyFont="1" applyBorder="1" applyAlignment="1">
      <alignment horizontal="center" vertical="center" wrapText="1"/>
    </xf>
    <xf numFmtId="3" fontId="18" fillId="0" borderId="14" xfId="1" applyNumberFormat="1" applyFont="1" applyBorder="1" applyAlignment="1">
      <alignment vertical="center"/>
    </xf>
    <xf numFmtId="49" fontId="13" fillId="0" borderId="14" xfId="0" applyNumberFormat="1" applyFont="1" applyBorder="1" applyAlignment="1">
      <alignment horizontal="center" vertical="center" shrinkToFit="1"/>
    </xf>
    <xf numFmtId="0" fontId="14" fillId="0" borderId="30" xfId="1" applyFont="1" applyBorder="1" applyAlignment="1">
      <alignment horizontal="center" vertical="center" wrapText="1"/>
    </xf>
    <xf numFmtId="3" fontId="13" fillId="0" borderId="14" xfId="1" applyNumberFormat="1" applyFont="1" applyBorder="1" applyAlignment="1">
      <alignment vertical="center"/>
    </xf>
    <xf numFmtId="49" fontId="18" fillId="0" borderId="18" xfId="0" applyNumberFormat="1" applyFont="1" applyBorder="1" applyAlignment="1">
      <alignment horizontal="center" vertical="center" shrinkToFit="1"/>
    </xf>
    <xf numFmtId="4" fontId="40" fillId="0" borderId="19" xfId="1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center" vertical="center" wrapText="1"/>
    </xf>
    <xf numFmtId="4" fontId="17" fillId="0" borderId="45" xfId="1" applyNumberFormat="1" applyFont="1" applyBorder="1" applyAlignment="1">
      <alignment horizontal="center" vertical="center" wrapText="1"/>
    </xf>
    <xf numFmtId="4" fontId="17" fillId="0" borderId="13" xfId="1" applyNumberFormat="1" applyFont="1" applyBorder="1" applyAlignment="1">
      <alignment horizontal="center" vertical="center" wrapText="1"/>
    </xf>
    <xf numFmtId="3" fontId="18" fillId="0" borderId="13" xfId="1" applyNumberFormat="1" applyFont="1" applyBorder="1" applyAlignment="1">
      <alignment vertical="center"/>
    </xf>
    <xf numFmtId="0" fontId="40" fillId="0" borderId="19" xfId="1" applyFont="1" applyBorder="1" applyAlignment="1">
      <alignment horizontal="center" vertical="center" wrapText="1"/>
    </xf>
    <xf numFmtId="0" fontId="17" fillId="0" borderId="45" xfId="1" applyFont="1" applyBorder="1" applyAlignment="1">
      <alignment horizontal="center" vertical="center" wrapText="1"/>
    </xf>
    <xf numFmtId="0" fontId="17" fillId="0" borderId="13" xfId="1" applyFont="1" applyBorder="1" applyAlignment="1">
      <alignment horizontal="center" vertical="center" wrapText="1"/>
    </xf>
    <xf numFmtId="49" fontId="18" fillId="0" borderId="22" xfId="0" applyNumberFormat="1" applyFont="1" applyBorder="1" applyAlignment="1">
      <alignment horizontal="center" vertical="center" shrinkToFit="1"/>
    </xf>
    <xf numFmtId="0" fontId="40" fillId="0" borderId="0" xfId="1" applyFont="1" applyAlignment="1">
      <alignment horizontal="center" vertical="center" wrapText="1"/>
    </xf>
    <xf numFmtId="0" fontId="17" fillId="0" borderId="29" xfId="1" applyFont="1" applyBorder="1" applyAlignment="1">
      <alignment horizontal="center" vertical="center" wrapText="1"/>
    </xf>
    <xf numFmtId="0" fontId="17" fillId="0" borderId="22" xfId="1" applyFont="1" applyBorder="1" applyAlignment="1">
      <alignment horizontal="center" vertical="center" wrapText="1"/>
    </xf>
    <xf numFmtId="3" fontId="18" fillId="0" borderId="22" xfId="1" applyNumberFormat="1" applyFont="1" applyBorder="1" applyAlignment="1">
      <alignment vertical="center"/>
    </xf>
    <xf numFmtId="49" fontId="36" fillId="0" borderId="33" xfId="0" applyNumberFormat="1" applyFont="1" applyBorder="1" applyAlignment="1">
      <alignment horizontal="center" vertical="center" shrinkToFit="1"/>
    </xf>
    <xf numFmtId="0" fontId="39" fillId="0" borderId="40" xfId="1" applyFont="1" applyBorder="1" applyAlignment="1">
      <alignment horizontal="center" vertical="center" wrapText="1"/>
    </xf>
    <xf numFmtId="0" fontId="19" fillId="0" borderId="35" xfId="1" applyFont="1" applyBorder="1" applyAlignment="1">
      <alignment horizontal="center" vertical="center" wrapText="1"/>
    </xf>
    <xf numFmtId="0" fontId="19" fillId="0" borderId="33" xfId="1" applyFont="1" applyBorder="1" applyAlignment="1">
      <alignment horizontal="center" vertical="center" wrapText="1"/>
    </xf>
    <xf numFmtId="3" fontId="36" fillId="0" borderId="33" xfId="1" applyNumberFormat="1" applyFont="1" applyBorder="1" applyAlignment="1">
      <alignment vertical="center"/>
    </xf>
    <xf numFmtId="49" fontId="13" fillId="0" borderId="26" xfId="0" applyNumberFormat="1" applyFont="1" applyBorder="1" applyAlignment="1">
      <alignment horizontal="center" vertical="center" shrinkToFit="1"/>
    </xf>
    <xf numFmtId="0" fontId="14" fillId="0" borderId="37" xfId="1" applyFont="1" applyBorder="1" applyAlignment="1">
      <alignment horizontal="center" vertical="center" wrapText="1"/>
    </xf>
    <xf numFmtId="3" fontId="13" fillId="0" borderId="26" xfId="1" applyNumberFormat="1" applyFont="1" applyBorder="1" applyAlignment="1">
      <alignment vertical="center"/>
    </xf>
    <xf numFmtId="49" fontId="36" fillId="0" borderId="13" xfId="0" applyNumberFormat="1" applyFont="1" applyBorder="1" applyAlignment="1">
      <alignment horizontal="center" vertical="center" shrinkToFit="1"/>
    </xf>
    <xf numFmtId="0" fontId="39" fillId="0" borderId="19" xfId="1" applyFont="1" applyBorder="1" applyAlignment="1">
      <alignment horizontal="center" vertical="center" wrapText="1"/>
    </xf>
    <xf numFmtId="0" fontId="19" fillId="0" borderId="45" xfId="1" applyFont="1" applyBorder="1" applyAlignment="1">
      <alignment horizontal="center" vertical="center" wrapText="1"/>
    </xf>
    <xf numFmtId="3" fontId="36" fillId="0" borderId="13" xfId="1" applyNumberFormat="1" applyFont="1" applyBorder="1" applyAlignment="1">
      <alignment vertical="center"/>
    </xf>
    <xf numFmtId="49" fontId="18" fillId="0" borderId="33" xfId="0" applyNumberFormat="1" applyFont="1" applyBorder="1" applyAlignment="1">
      <alignment horizontal="center" vertical="center" shrinkToFit="1"/>
    </xf>
    <xf numFmtId="0" fontId="40" fillId="0" borderId="40" xfId="1" applyFont="1" applyBorder="1" applyAlignment="1">
      <alignment horizontal="center" vertical="center" wrapText="1"/>
    </xf>
    <xf numFmtId="0" fontId="17" fillId="0" borderId="35" xfId="1" applyFont="1" applyBorder="1" applyAlignment="1">
      <alignment horizontal="center" vertical="center" wrapText="1"/>
    </xf>
    <xf numFmtId="0" fontId="17" fillId="0" borderId="33" xfId="1" applyFont="1" applyBorder="1" applyAlignment="1">
      <alignment horizontal="center" vertical="center" wrapText="1"/>
    </xf>
    <xf numFmtId="3" fontId="18" fillId="0" borderId="33" xfId="1" applyNumberFormat="1" applyFont="1" applyBorder="1" applyAlignment="1">
      <alignment vertical="center"/>
    </xf>
    <xf numFmtId="49" fontId="16" fillId="0" borderId="33" xfId="0" applyNumberFormat="1" applyFont="1" applyBorder="1" applyAlignment="1">
      <alignment horizontal="center" vertical="center" shrinkToFit="1"/>
    </xf>
    <xf numFmtId="0" fontId="47" fillId="0" borderId="40" xfId="1" applyFont="1" applyBorder="1" applyAlignment="1">
      <alignment horizontal="center" vertical="center" wrapText="1"/>
    </xf>
    <xf numFmtId="0" fontId="15" fillId="0" borderId="33" xfId="0" applyFont="1" applyBorder="1" applyAlignment="1">
      <alignment horizontal="center" vertical="center" wrapText="1"/>
    </xf>
    <xf numFmtId="0" fontId="15" fillId="0" borderId="35" xfId="1" applyFont="1" applyBorder="1" applyAlignment="1">
      <alignment horizontal="center" vertical="center" wrapText="1"/>
    </xf>
    <xf numFmtId="0" fontId="15" fillId="0" borderId="33" xfId="1" applyFont="1" applyBorder="1" applyAlignment="1">
      <alignment horizontal="center" vertical="center" wrapText="1"/>
    </xf>
    <xf numFmtId="3" fontId="16" fillId="0" borderId="33" xfId="1" applyNumberFormat="1" applyFont="1" applyBorder="1" applyAlignment="1">
      <alignment vertical="center"/>
    </xf>
    <xf numFmtId="0" fontId="17" fillId="0" borderId="22" xfId="0" applyFont="1" applyBorder="1" applyAlignment="1">
      <alignment horizontal="center" vertical="center" wrapText="1"/>
    </xf>
    <xf numFmtId="49" fontId="13" fillId="0" borderId="33" xfId="0" applyNumberFormat="1" applyFont="1" applyBorder="1" applyAlignment="1">
      <alignment horizontal="center" vertical="center" shrinkToFit="1"/>
    </xf>
    <xf numFmtId="0" fontId="14" fillId="0" borderId="40" xfId="1" applyFont="1" applyBorder="1" applyAlignment="1">
      <alignment horizontal="center" vertical="center" wrapText="1"/>
    </xf>
    <xf numFmtId="0" fontId="11" fillId="0" borderId="35" xfId="1" applyBorder="1" applyAlignment="1">
      <alignment horizontal="center" vertical="center" wrapText="1"/>
    </xf>
    <xf numFmtId="0" fontId="11" fillId="0" borderId="33" xfId="1" applyBorder="1" applyAlignment="1">
      <alignment horizontal="center" vertical="center" wrapText="1"/>
    </xf>
    <xf numFmtId="3" fontId="13" fillId="0" borderId="33" xfId="1" applyNumberFormat="1" applyFont="1" applyBorder="1" applyAlignment="1">
      <alignment vertical="center"/>
    </xf>
    <xf numFmtId="49" fontId="18" fillId="0" borderId="26" xfId="0" applyNumberFormat="1" applyFont="1" applyBorder="1" applyAlignment="1">
      <alignment horizontal="center" vertical="center" shrinkToFit="1"/>
    </xf>
    <xf numFmtId="0" fontId="40" fillId="0" borderId="32" xfId="1" applyFont="1" applyBorder="1" applyAlignment="1">
      <alignment horizontal="center" vertical="center" wrapText="1"/>
    </xf>
    <xf numFmtId="49" fontId="13" fillId="0" borderId="13" xfId="0" applyNumberFormat="1" applyFont="1" applyBorder="1" applyAlignment="1">
      <alignment horizontal="center" vertical="center" shrinkToFit="1"/>
    </xf>
    <xf numFmtId="0" fontId="14" fillId="0" borderId="19" xfId="1" applyFont="1" applyBorder="1" applyAlignment="1">
      <alignment horizontal="center" vertical="center" wrapText="1"/>
    </xf>
    <xf numFmtId="3" fontId="13" fillId="0" borderId="13" xfId="1" applyNumberFormat="1" applyFont="1" applyBorder="1" applyAlignment="1">
      <alignment vertical="center"/>
    </xf>
    <xf numFmtId="49" fontId="36" fillId="0" borderId="22" xfId="0" applyNumberFormat="1" applyFont="1" applyBorder="1" applyAlignment="1">
      <alignment horizontal="center" vertical="center" shrinkToFit="1"/>
    </xf>
    <xf numFmtId="0" fontId="39" fillId="0" borderId="0" xfId="1" applyFont="1" applyAlignment="1">
      <alignment horizontal="center" vertical="center" wrapText="1"/>
    </xf>
    <xf numFmtId="0" fontId="19" fillId="0" borderId="29" xfId="1" applyFont="1" applyBorder="1" applyAlignment="1">
      <alignment horizontal="center" vertical="center" wrapText="1"/>
    </xf>
    <xf numFmtId="0" fontId="19" fillId="0" borderId="22" xfId="1" applyFont="1" applyBorder="1" applyAlignment="1">
      <alignment horizontal="center" vertical="center" wrapText="1"/>
    </xf>
    <xf numFmtId="3" fontId="36" fillId="0" borderId="22" xfId="1" applyNumberFormat="1" applyFont="1" applyBorder="1" applyAlignment="1">
      <alignment vertical="center"/>
    </xf>
    <xf numFmtId="0" fontId="14" fillId="0" borderId="31" xfId="1" applyFont="1" applyBorder="1" applyAlignment="1">
      <alignment horizontal="center" vertical="center" wrapText="1"/>
    </xf>
    <xf numFmtId="49" fontId="18" fillId="0" borderId="13" xfId="0" applyNumberFormat="1" applyFont="1" applyBorder="1" applyAlignment="1">
      <alignment horizontal="center" vertical="center" shrinkToFit="1"/>
    </xf>
    <xf numFmtId="49" fontId="18" fillId="0" borderId="23" xfId="0" applyNumberFormat="1" applyFont="1" applyBorder="1" applyAlignment="1">
      <alignment horizontal="center" vertical="center" shrinkToFit="1"/>
    </xf>
    <xf numFmtId="0" fontId="40" fillId="0" borderId="15" xfId="1" applyFont="1" applyBorder="1" applyAlignment="1">
      <alignment horizontal="center" vertical="center" wrapText="1"/>
    </xf>
    <xf numFmtId="0" fontId="40" fillId="0" borderId="37" xfId="1" applyFont="1" applyBorder="1" applyAlignment="1">
      <alignment horizontal="center" vertical="center" wrapText="1"/>
    </xf>
    <xf numFmtId="0" fontId="17" fillId="0" borderId="32" xfId="1" applyFont="1" applyBorder="1" applyAlignment="1">
      <alignment horizontal="center" vertical="center" wrapText="1"/>
    </xf>
    <xf numFmtId="3" fontId="18" fillId="0" borderId="26" xfId="1" applyNumberFormat="1" applyFont="1" applyBorder="1" applyAlignment="1">
      <alignment vertical="center"/>
    </xf>
    <xf numFmtId="49" fontId="16" fillId="0" borderId="22" xfId="0" applyNumberFormat="1" applyFont="1" applyBorder="1" applyAlignment="1">
      <alignment horizontal="center" vertical="center" shrinkToFit="1"/>
    </xf>
    <xf numFmtId="0" fontId="47" fillId="0" borderId="0" xfId="1" applyFont="1" applyAlignment="1">
      <alignment horizontal="center" vertical="center" wrapText="1"/>
    </xf>
    <xf numFmtId="0" fontId="15" fillId="0" borderId="29" xfId="1" applyFont="1" applyBorder="1" applyAlignment="1">
      <alignment horizontal="center" vertical="center" wrapText="1"/>
    </xf>
    <xf numFmtId="0" fontId="15" fillId="0" borderId="22" xfId="1" applyFont="1" applyBorder="1" applyAlignment="1">
      <alignment horizontal="center" vertical="center" wrapText="1"/>
    </xf>
    <xf numFmtId="3" fontId="16" fillId="0" borderId="22" xfId="1" applyNumberFormat="1" applyFont="1" applyBorder="1" applyAlignment="1">
      <alignment vertical="center"/>
    </xf>
    <xf numFmtId="49" fontId="36" fillId="0" borderId="26" xfId="0" applyNumberFormat="1" applyFont="1" applyBorder="1" applyAlignment="1">
      <alignment horizontal="center" vertical="center" shrinkToFit="1"/>
    </xf>
    <xf numFmtId="0" fontId="39" fillId="0" borderId="37" xfId="1" applyFont="1" applyBorder="1" applyAlignment="1">
      <alignment horizontal="center" vertical="center" wrapText="1"/>
    </xf>
    <xf numFmtId="0" fontId="19" fillId="0" borderId="32" xfId="1" applyFont="1" applyBorder="1" applyAlignment="1">
      <alignment horizontal="center" vertical="center" wrapText="1"/>
    </xf>
    <xf numFmtId="0" fontId="19" fillId="0" borderId="26" xfId="1" applyFont="1" applyBorder="1" applyAlignment="1">
      <alignment horizontal="center" vertical="center" wrapText="1"/>
    </xf>
    <xf numFmtId="3" fontId="36" fillId="0" borderId="26" xfId="1" applyNumberFormat="1" applyFont="1" applyBorder="1" applyAlignment="1">
      <alignment vertical="center"/>
    </xf>
    <xf numFmtId="49" fontId="36" fillId="0" borderId="23" xfId="0" applyNumberFormat="1" applyFont="1" applyBorder="1" applyAlignment="1">
      <alignment horizontal="center" vertical="center" shrinkToFit="1"/>
    </xf>
    <xf numFmtId="0" fontId="39" fillId="0" borderId="27" xfId="1" applyFont="1" applyBorder="1" applyAlignment="1">
      <alignment horizontal="center" vertical="center" wrapText="1"/>
    </xf>
    <xf numFmtId="3" fontId="36" fillId="0" borderId="23" xfId="1" applyNumberFormat="1" applyFont="1" applyBorder="1" applyAlignment="1">
      <alignment vertical="center"/>
    </xf>
    <xf numFmtId="4" fontId="40" fillId="0" borderId="40" xfId="1" applyNumberFormat="1" applyFont="1" applyBorder="1" applyAlignment="1">
      <alignment horizontal="center" vertical="center" wrapText="1"/>
    </xf>
    <xf numFmtId="49" fontId="13" fillId="0" borderId="22" xfId="0" applyNumberFormat="1" applyFont="1" applyBorder="1" applyAlignment="1">
      <alignment horizontal="center" vertical="center" shrinkToFit="1"/>
    </xf>
    <xf numFmtId="0" fontId="14" fillId="0" borderId="0" xfId="1" applyFont="1" applyAlignment="1">
      <alignment horizontal="center" vertical="center" wrapText="1"/>
    </xf>
    <xf numFmtId="0" fontId="11" fillId="0" borderId="22" xfId="1" applyBorder="1" applyAlignment="1">
      <alignment horizontal="center" vertical="center" wrapText="1"/>
    </xf>
    <xf numFmtId="3" fontId="13" fillId="0" borderId="22" xfId="1" applyNumberFormat="1" applyFont="1" applyBorder="1" applyAlignment="1">
      <alignment vertical="center"/>
    </xf>
    <xf numFmtId="0" fontId="11" fillId="0" borderId="29" xfId="1" applyBorder="1" applyAlignment="1">
      <alignment horizontal="center" vertical="center" wrapText="1"/>
    </xf>
    <xf numFmtId="49" fontId="13" fillId="0" borderId="18" xfId="0" applyNumberFormat="1" applyFont="1" applyBorder="1" applyAlignment="1">
      <alignment horizontal="center" vertical="center" shrinkToFit="1"/>
    </xf>
    <xf numFmtId="0" fontId="14" fillId="0" borderId="5" xfId="1" applyFont="1" applyBorder="1" applyAlignment="1">
      <alignment horizontal="center" vertical="center" wrapText="1"/>
    </xf>
    <xf numFmtId="3" fontId="13" fillId="0" borderId="18" xfId="1" applyNumberFormat="1" applyFont="1" applyBorder="1" applyAlignment="1">
      <alignment vertical="center"/>
    </xf>
    <xf numFmtId="49" fontId="11" fillId="0" borderId="13" xfId="0" applyNumberFormat="1" applyFont="1" applyBorder="1" applyAlignment="1">
      <alignment horizontal="center" vertical="center" wrapText="1" shrinkToFit="1"/>
    </xf>
    <xf numFmtId="0" fontId="12" fillId="0" borderId="15" xfId="1" applyFont="1" applyBorder="1" applyAlignment="1">
      <alignment horizontal="center" vertical="center" wrapText="1"/>
    </xf>
    <xf numFmtId="49" fontId="13" fillId="0" borderId="15" xfId="0" applyNumberFormat="1" applyFont="1" applyBorder="1" applyAlignment="1">
      <alignment horizontal="center" vertical="center" wrapText="1" shrinkToFit="1"/>
    </xf>
    <xf numFmtId="49" fontId="13" fillId="0" borderId="12" xfId="0" applyNumberFormat="1" applyFont="1" applyBorder="1" applyAlignment="1">
      <alignment horizontal="center" vertical="center" wrapText="1" shrinkToFit="1"/>
    </xf>
    <xf numFmtId="0" fontId="11" fillId="0" borderId="22" xfId="0" applyFont="1" applyBorder="1" applyAlignment="1">
      <alignment horizontal="center" vertical="center" wrapText="1"/>
    </xf>
    <xf numFmtId="0" fontId="11" fillId="0" borderId="37" xfId="1" applyBorder="1" applyAlignment="1">
      <alignment horizontal="center" vertical="center" wrapText="1"/>
    </xf>
    <xf numFmtId="49" fontId="13" fillId="0" borderId="22" xfId="0" applyNumberFormat="1" applyFont="1" applyBorder="1" applyAlignment="1">
      <alignment horizontal="center" vertical="center" wrapText="1" shrinkToFit="1"/>
    </xf>
    <xf numFmtId="0" fontId="14" fillId="0" borderId="71" xfId="1" applyFont="1" applyBorder="1" applyAlignment="1">
      <alignment horizontal="center" vertical="center" wrapText="1"/>
    </xf>
    <xf numFmtId="3" fontId="13" fillId="0" borderId="22" xfId="1" applyNumberFormat="1" applyFont="1" applyBorder="1" applyAlignment="1">
      <alignment vertical="center" wrapText="1"/>
    </xf>
    <xf numFmtId="49" fontId="11" fillId="0" borderId="30" xfId="0" applyNumberFormat="1" applyFont="1" applyBorder="1" applyAlignment="1">
      <alignment horizontal="center" vertical="center" wrapText="1" shrinkToFit="1"/>
    </xf>
    <xf numFmtId="0" fontId="12" fillId="0" borderId="30" xfId="1" applyFont="1" applyBorder="1" applyAlignment="1">
      <alignment horizontal="center" vertical="center" wrapText="1"/>
    </xf>
    <xf numFmtId="49" fontId="13" fillId="0" borderId="4" xfId="0" applyNumberFormat="1" applyFont="1" applyBorder="1" applyAlignment="1">
      <alignment horizontal="center" vertical="center" wrapText="1" shrinkToFit="1"/>
    </xf>
    <xf numFmtId="0" fontId="14" fillId="0" borderId="4" xfId="1" applyFont="1" applyBorder="1" applyAlignment="1">
      <alignment horizontal="center" vertical="center" wrapText="1"/>
    </xf>
    <xf numFmtId="0" fontId="11" fillId="0" borderId="9" xfId="1" applyBorder="1" applyAlignment="1">
      <alignment horizontal="center" vertical="center" wrapText="1"/>
    </xf>
    <xf numFmtId="0" fontId="11" fillId="0" borderId="2" xfId="1" applyBorder="1" applyAlignment="1">
      <alignment horizontal="center" vertical="center" wrapText="1"/>
    </xf>
    <xf numFmtId="3" fontId="13" fillId="0" borderId="2" xfId="1" applyNumberFormat="1" applyFont="1" applyBorder="1" applyAlignment="1">
      <alignment vertical="center" wrapText="1"/>
    </xf>
    <xf numFmtId="49" fontId="21" fillId="0" borderId="31" xfId="0" applyNumberFormat="1" applyFont="1" applyBorder="1" applyAlignment="1">
      <alignment horizontal="center" vertical="center" wrapText="1" shrinkToFit="1"/>
    </xf>
    <xf numFmtId="0" fontId="48" fillId="0" borderId="31" xfId="1" applyFont="1" applyBorder="1" applyAlignment="1">
      <alignment horizontal="center" vertical="center" wrapText="1"/>
    </xf>
    <xf numFmtId="0" fontId="20" fillId="0" borderId="32" xfId="1" applyFont="1" applyBorder="1" applyAlignment="1">
      <alignment horizontal="center" vertical="center" wrapText="1"/>
    </xf>
    <xf numFmtId="0" fontId="20" fillId="0" borderId="26" xfId="1" applyFont="1" applyBorder="1" applyAlignment="1">
      <alignment horizontal="center" vertical="center" wrapText="1"/>
    </xf>
    <xf numFmtId="3" fontId="21" fillId="0" borderId="26" xfId="1" applyNumberFormat="1" applyFont="1" applyBorder="1" applyAlignment="1">
      <alignment vertical="center" wrapText="1"/>
    </xf>
    <xf numFmtId="49" fontId="18" fillId="0" borderId="31" xfId="0" applyNumberFormat="1" applyFont="1" applyBorder="1" applyAlignment="1">
      <alignment horizontal="center" vertical="center" wrapText="1" shrinkToFit="1"/>
    </xf>
    <xf numFmtId="0" fontId="40" fillId="0" borderId="31" xfId="1" applyFont="1" applyBorder="1" applyAlignment="1">
      <alignment horizontal="center" vertical="center" wrapText="1"/>
    </xf>
    <xf numFmtId="49" fontId="18" fillId="0" borderId="12" xfId="0" applyNumberFormat="1" applyFont="1" applyBorder="1" applyAlignment="1">
      <alignment horizontal="center" vertical="center" wrapText="1" shrinkToFit="1"/>
    </xf>
    <xf numFmtId="0" fontId="40" fillId="0" borderId="12" xfId="1" applyFont="1" applyBorder="1" applyAlignment="1">
      <alignment horizontal="center" vertical="center" wrapText="1"/>
    </xf>
    <xf numFmtId="0" fontId="17" fillId="0" borderId="6" xfId="1" applyFont="1" applyBorder="1" applyAlignment="1">
      <alignment horizontal="center" vertical="center" wrapText="1"/>
    </xf>
    <xf numFmtId="3" fontId="18" fillId="0" borderId="18" xfId="1" applyNumberFormat="1" applyFont="1" applyBorder="1" applyAlignment="1">
      <alignment vertical="center" wrapText="1"/>
    </xf>
    <xf numFmtId="0" fontId="12" fillId="0" borderId="1" xfId="1" applyFont="1" applyBorder="1" applyAlignment="1">
      <alignment horizontal="center" vertical="center" wrapText="1"/>
    </xf>
    <xf numFmtId="49" fontId="11" fillId="0" borderId="16" xfId="0" applyNumberFormat="1" applyFont="1" applyBorder="1" applyAlignment="1">
      <alignment horizontal="center" vertical="center" wrapText="1" shrinkToFit="1"/>
    </xf>
    <xf numFmtId="0" fontId="12" fillId="0" borderId="1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/>
    </xf>
    <xf numFmtId="3" fontId="18" fillId="0" borderId="18" xfId="0" applyNumberFormat="1" applyFont="1" applyBorder="1" applyAlignment="1">
      <alignment horizontal="right" vertical="center"/>
    </xf>
    <xf numFmtId="0" fontId="40" fillId="0" borderId="27" xfId="0" applyFont="1" applyBorder="1" applyAlignment="1">
      <alignment horizontal="center" vertical="center" wrapText="1"/>
    </xf>
    <xf numFmtId="3" fontId="18" fillId="0" borderId="23" xfId="0" applyNumberFormat="1" applyFont="1" applyBorder="1" applyAlignment="1">
      <alignment horizontal="right" vertical="center"/>
    </xf>
    <xf numFmtId="49" fontId="16" fillId="0" borderId="2" xfId="0" applyNumberFormat="1" applyFont="1" applyBorder="1" applyAlignment="1">
      <alignment horizontal="center" vertical="center" wrapText="1"/>
    </xf>
    <xf numFmtId="0" fontId="47" fillId="0" borderId="25" xfId="0" applyFont="1" applyBorder="1" applyAlignment="1">
      <alignment horizontal="center" vertical="center" wrapText="1"/>
    </xf>
    <xf numFmtId="3" fontId="16" fillId="0" borderId="23" xfId="0" applyNumberFormat="1" applyFont="1" applyBorder="1" applyAlignment="1">
      <alignment horizontal="right" vertical="center"/>
    </xf>
    <xf numFmtId="49" fontId="18" fillId="0" borderId="20" xfId="0" applyNumberFormat="1" applyFont="1" applyBorder="1" applyAlignment="1">
      <alignment horizontal="center" vertical="center" wrapText="1"/>
    </xf>
    <xf numFmtId="0" fontId="40" fillId="0" borderId="37" xfId="0" applyFont="1" applyBorder="1" applyAlignment="1">
      <alignment horizontal="center" vertical="center" wrapText="1"/>
    </xf>
    <xf numFmtId="0" fontId="39" fillId="0" borderId="25" xfId="0" applyFont="1" applyBorder="1" applyAlignment="1">
      <alignment horizontal="center" vertical="center" wrapText="1"/>
    </xf>
    <xf numFmtId="49" fontId="13" fillId="0" borderId="22" xfId="0" applyNumberFormat="1" applyFont="1" applyBorder="1" applyAlignment="1">
      <alignment horizontal="center" vertical="center" wrapText="1"/>
    </xf>
    <xf numFmtId="0" fontId="14" fillId="0" borderId="28" xfId="0" applyFont="1" applyBorder="1" applyAlignment="1">
      <alignment horizontal="center" vertical="center" wrapText="1"/>
    </xf>
    <xf numFmtId="0" fontId="11" fillId="0" borderId="29" xfId="0" applyFont="1" applyBorder="1" applyAlignment="1">
      <alignment horizontal="center" vertical="center" wrapText="1"/>
    </xf>
    <xf numFmtId="3" fontId="13" fillId="0" borderId="22" xfId="0" applyNumberFormat="1" applyFont="1" applyBorder="1" applyAlignment="1">
      <alignment horizontal="right" vertical="center"/>
    </xf>
    <xf numFmtId="0" fontId="47" fillId="0" borderId="31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3" fontId="16" fillId="0" borderId="26" xfId="0" applyNumberFormat="1" applyFont="1" applyBorder="1" applyAlignment="1">
      <alignment horizontal="right" vertical="center"/>
    </xf>
    <xf numFmtId="0" fontId="14" fillId="0" borderId="37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11" fillId="0" borderId="1" xfId="1" applyBorder="1" applyAlignment="1">
      <alignment horizontal="center" vertical="center" wrapText="1"/>
    </xf>
    <xf numFmtId="3" fontId="13" fillId="0" borderId="16" xfId="1" applyNumberFormat="1" applyFont="1" applyBorder="1" applyAlignment="1">
      <alignment vertical="center" wrapText="1"/>
    </xf>
    <xf numFmtId="3" fontId="13" fillId="0" borderId="16" xfId="0" applyNumberFormat="1" applyFont="1" applyBorder="1" applyAlignment="1">
      <alignment horizontal="right" vertical="center" wrapText="1"/>
    </xf>
    <xf numFmtId="0" fontId="11" fillId="0" borderId="37" xfId="0" applyFont="1" applyBorder="1" applyAlignment="1">
      <alignment horizontal="center" vertical="center" wrapText="1"/>
    </xf>
    <xf numFmtId="3" fontId="13" fillId="0" borderId="32" xfId="0" applyNumberFormat="1" applyFont="1" applyBorder="1" applyAlignment="1">
      <alignment vertical="center" wrapText="1"/>
    </xf>
    <xf numFmtId="3" fontId="13" fillId="0" borderId="24" xfId="0" applyNumberFormat="1" applyFont="1" applyBorder="1" applyAlignment="1">
      <alignment vertical="center" wrapText="1"/>
    </xf>
    <xf numFmtId="3" fontId="13" fillId="0" borderId="45" xfId="0" applyNumberFormat="1" applyFont="1" applyBorder="1" applyAlignment="1">
      <alignment vertical="center" wrapText="1"/>
    </xf>
    <xf numFmtId="3" fontId="13" fillId="0" borderId="13" xfId="0" applyNumberFormat="1" applyFont="1" applyBorder="1" applyAlignment="1">
      <alignment vertical="center" wrapText="1"/>
    </xf>
    <xf numFmtId="0" fontId="14" fillId="0" borderId="2" xfId="0" applyFont="1" applyBorder="1" applyAlignment="1">
      <alignment horizontal="center" vertical="center" wrapText="1"/>
    </xf>
    <xf numFmtId="3" fontId="13" fillId="0" borderId="2" xfId="0" applyNumberFormat="1" applyFont="1" applyBorder="1" applyAlignment="1">
      <alignment vertical="center" wrapText="1"/>
    </xf>
    <xf numFmtId="0" fontId="14" fillId="0" borderId="13" xfId="0" applyFont="1" applyBorder="1" applyAlignment="1">
      <alignment horizontal="center" vertical="center" wrapText="1"/>
    </xf>
    <xf numFmtId="0" fontId="40" fillId="0" borderId="12" xfId="0" applyFont="1" applyBorder="1" applyAlignment="1">
      <alignment horizontal="center" vertical="center" wrapText="1"/>
    </xf>
    <xf numFmtId="3" fontId="11" fillId="0" borderId="32" xfId="0" applyNumberFormat="1" applyFont="1" applyBorder="1" applyAlignment="1">
      <alignment vertical="center" wrapText="1"/>
    </xf>
    <xf numFmtId="3" fontId="11" fillId="0" borderId="37" xfId="0" applyNumberFormat="1" applyFont="1" applyBorder="1" applyAlignment="1">
      <alignment vertical="center" wrapText="1"/>
    </xf>
    <xf numFmtId="3" fontId="11" fillId="0" borderId="47" xfId="0" applyNumberFormat="1" applyFont="1" applyBorder="1" applyAlignment="1">
      <alignment vertical="center" wrapText="1"/>
    </xf>
    <xf numFmtId="3" fontId="11" fillId="0" borderId="20" xfId="0" applyNumberFormat="1" applyFont="1" applyBorder="1" applyAlignment="1">
      <alignment vertical="center" wrapText="1"/>
    </xf>
    <xf numFmtId="3" fontId="11" fillId="0" borderId="26" xfId="0" applyNumberFormat="1" applyFont="1" applyBorder="1" applyAlignment="1">
      <alignment horizontal="center" vertical="center" wrapText="1"/>
    </xf>
    <xf numFmtId="49" fontId="11" fillId="0" borderId="26" xfId="0" applyNumberFormat="1" applyFont="1" applyBorder="1" applyAlignment="1">
      <alignment horizontal="center" vertical="center" wrapText="1"/>
    </xf>
    <xf numFmtId="49" fontId="11" fillId="0" borderId="31" xfId="0" applyNumberFormat="1" applyFont="1" applyBorder="1" applyAlignment="1">
      <alignment horizontal="center" vertical="center" wrapText="1"/>
    </xf>
    <xf numFmtId="3" fontId="11" fillId="0" borderId="16" xfId="0" applyNumberFormat="1" applyFont="1" applyBorder="1" applyAlignment="1">
      <alignment vertical="center" wrapText="1"/>
    </xf>
    <xf numFmtId="3" fontId="11" fillId="0" borderId="1" xfId="0" applyNumberFormat="1" applyFont="1" applyBorder="1" applyAlignment="1">
      <alignment vertical="center" wrapText="1"/>
    </xf>
    <xf numFmtId="3" fontId="11" fillId="0" borderId="68" xfId="0" applyNumberFormat="1" applyFont="1" applyBorder="1" applyAlignment="1">
      <alignment vertical="center" wrapText="1"/>
    </xf>
    <xf numFmtId="3" fontId="11" fillId="0" borderId="69" xfId="0" applyNumberFormat="1" applyFont="1" applyBorder="1" applyAlignment="1">
      <alignment vertical="center" wrapText="1"/>
    </xf>
    <xf numFmtId="3" fontId="13" fillId="0" borderId="18" xfId="0" applyNumberFormat="1" applyFont="1" applyBorder="1" applyAlignment="1">
      <alignment horizontal="right" vertical="center" wrapText="1"/>
    </xf>
    <xf numFmtId="3" fontId="11" fillId="0" borderId="6" xfId="0" applyNumberFormat="1" applyFont="1" applyBorder="1" applyAlignment="1">
      <alignment vertical="center" wrapText="1"/>
    </xf>
    <xf numFmtId="3" fontId="11" fillId="0" borderId="56" xfId="0" applyNumberFormat="1" applyFont="1" applyBorder="1" applyAlignment="1">
      <alignment vertical="center" wrapText="1"/>
    </xf>
    <xf numFmtId="3" fontId="11" fillId="0" borderId="6" xfId="0" applyNumberFormat="1" applyFont="1" applyBorder="1" applyAlignment="1">
      <alignment horizontal="right" vertical="center" wrapText="1"/>
    </xf>
    <xf numFmtId="3" fontId="11" fillId="0" borderId="18" xfId="0" applyNumberFormat="1" applyFont="1" applyBorder="1" applyAlignment="1">
      <alignment horizontal="center" vertical="center" wrapText="1"/>
    </xf>
    <xf numFmtId="49" fontId="11" fillId="0" borderId="18" xfId="0" applyNumberFormat="1" applyFont="1" applyBorder="1" applyAlignment="1">
      <alignment horizontal="center" vertical="center" wrapText="1"/>
    </xf>
    <xf numFmtId="49" fontId="11" fillId="0" borderId="12" xfId="0" applyNumberFormat="1" applyFont="1" applyBorder="1" applyAlignment="1">
      <alignment horizontal="center" vertical="center" wrapText="1"/>
    </xf>
    <xf numFmtId="3" fontId="11" fillId="0" borderId="21" xfId="0" applyNumberFormat="1" applyFont="1" applyBorder="1" applyAlignment="1">
      <alignment horizontal="right" vertical="center" wrapText="1"/>
    </xf>
    <xf numFmtId="3" fontId="11" fillId="0" borderId="2" xfId="0" applyNumberFormat="1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49" fontId="11" fillId="0" borderId="23" xfId="0" applyNumberFormat="1" applyFont="1" applyBorder="1" applyAlignment="1">
      <alignment horizontal="center" vertical="center" wrapText="1"/>
    </xf>
    <xf numFmtId="3" fontId="11" fillId="0" borderId="20" xfId="0" applyNumberFormat="1" applyFont="1" applyBorder="1" applyAlignment="1">
      <alignment horizontal="right" vertical="center" wrapText="1"/>
    </xf>
    <xf numFmtId="0" fontId="11" fillId="0" borderId="27" xfId="0" applyFont="1" applyBorder="1" applyAlignment="1">
      <alignment horizontal="center" vertical="center" wrapText="1"/>
    </xf>
    <xf numFmtId="0" fontId="29" fillId="0" borderId="37" xfId="0" applyFont="1" applyBorder="1" applyAlignment="1">
      <alignment horizontal="center" vertical="center"/>
    </xf>
    <xf numFmtId="3" fontId="36" fillId="0" borderId="13" xfId="0" applyNumberFormat="1" applyFont="1" applyBorder="1" applyAlignment="1">
      <alignment horizontal="right" vertical="center" wrapText="1"/>
    </xf>
    <xf numFmtId="3" fontId="19" fillId="0" borderId="19" xfId="0" applyNumberFormat="1" applyFont="1" applyBorder="1" applyAlignment="1">
      <alignment horizontal="right" vertical="center" wrapText="1"/>
    </xf>
    <xf numFmtId="3" fontId="19" fillId="0" borderId="60" xfId="0" applyNumberFormat="1" applyFont="1" applyBorder="1" applyAlignment="1">
      <alignment horizontal="right" vertical="center" wrapText="1"/>
    </xf>
    <xf numFmtId="3" fontId="19" fillId="0" borderId="45" xfId="0" applyNumberFormat="1" applyFont="1" applyBorder="1" applyAlignment="1">
      <alignment horizontal="right" vertical="center" wrapText="1"/>
    </xf>
    <xf numFmtId="3" fontId="19" fillId="0" borderId="26" xfId="0" applyNumberFormat="1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49" fontId="19" fillId="0" borderId="13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right" vertical="center" wrapText="1"/>
    </xf>
    <xf numFmtId="3" fontId="17" fillId="0" borderId="18" xfId="0" applyNumberFormat="1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49" fontId="17" fillId="0" borderId="18" xfId="0" applyNumberFormat="1" applyFont="1" applyBorder="1" applyAlignment="1">
      <alignment horizontal="center" vertical="center" wrapText="1"/>
    </xf>
    <xf numFmtId="3" fontId="11" fillId="0" borderId="23" xfId="0" applyNumberFormat="1" applyFont="1" applyBorder="1" applyAlignment="1">
      <alignment horizontal="center" vertical="center" wrapText="1"/>
    </xf>
    <xf numFmtId="3" fontId="11" fillId="0" borderId="48" xfId="0" applyNumberFormat="1" applyFont="1" applyBorder="1" applyAlignment="1">
      <alignment horizontal="right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3" fontId="11" fillId="0" borderId="69" xfId="0" applyNumberFormat="1" applyFont="1" applyBorder="1" applyAlignment="1">
      <alignment horizontal="right" vertical="center" wrapText="1"/>
    </xf>
    <xf numFmtId="0" fontId="11" fillId="0" borderId="30" xfId="0" applyFont="1" applyBorder="1" applyAlignment="1">
      <alignment horizontal="center" vertical="center" wrapText="1"/>
    </xf>
    <xf numFmtId="3" fontId="11" fillId="0" borderId="60" xfId="0" applyNumberFormat="1" applyFont="1" applyBorder="1" applyAlignment="1">
      <alignment horizontal="center" vertical="center" wrapText="1"/>
    </xf>
    <xf numFmtId="3" fontId="11" fillId="0" borderId="19" xfId="0" applyNumberFormat="1" applyFont="1" applyBorder="1" applyAlignment="1">
      <alignment horizontal="center" vertical="center" wrapText="1"/>
    </xf>
    <xf numFmtId="3" fontId="11" fillId="0" borderId="48" xfId="0" applyNumberFormat="1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3" fontId="18" fillId="0" borderId="14" xfId="0" applyNumberFormat="1" applyFont="1" applyBorder="1" applyAlignment="1">
      <alignment horizontal="right" vertical="center" wrapText="1"/>
    </xf>
    <xf numFmtId="3" fontId="17" fillId="0" borderId="14" xfId="0" applyNumberFormat="1" applyFont="1" applyBorder="1" applyAlignment="1">
      <alignment vertical="center" wrapText="1"/>
    </xf>
    <xf numFmtId="3" fontId="17" fillId="0" borderId="1" xfId="0" applyNumberFormat="1" applyFont="1" applyBorder="1" applyAlignment="1">
      <alignment vertical="center" wrapText="1"/>
    </xf>
    <xf numFmtId="3" fontId="17" fillId="0" borderId="68" xfId="0" applyNumberFormat="1" applyFont="1" applyBorder="1" applyAlignment="1">
      <alignment vertical="center" wrapText="1"/>
    </xf>
    <xf numFmtId="3" fontId="17" fillId="0" borderId="69" xfId="0" applyNumberFormat="1" applyFont="1" applyBorder="1" applyAlignment="1">
      <alignment vertical="center" wrapText="1"/>
    </xf>
    <xf numFmtId="3" fontId="17" fillId="0" borderId="69" xfId="0" applyNumberFormat="1" applyFont="1" applyBorder="1" applyAlignment="1">
      <alignment horizontal="right" vertical="center" wrapText="1"/>
    </xf>
    <xf numFmtId="3" fontId="17" fillId="0" borderId="16" xfId="0" applyNumberFormat="1" applyFont="1" applyBorder="1" applyAlignment="1">
      <alignment horizontal="right" vertical="center" wrapText="1"/>
    </xf>
    <xf numFmtId="0" fontId="17" fillId="0" borderId="30" xfId="0" applyFont="1" applyBorder="1" applyAlignment="1">
      <alignment horizontal="center" vertical="center" wrapText="1"/>
    </xf>
    <xf numFmtId="49" fontId="17" fillId="0" borderId="30" xfId="0" applyNumberFormat="1" applyFont="1" applyBorder="1" applyAlignment="1">
      <alignment horizontal="center" vertical="center"/>
    </xf>
    <xf numFmtId="49" fontId="17" fillId="0" borderId="14" xfId="0" applyNumberFormat="1" applyFont="1" applyBorder="1" applyAlignment="1">
      <alignment horizontal="center" vertical="center"/>
    </xf>
    <xf numFmtId="3" fontId="11" fillId="0" borderId="23" xfId="0" applyNumberFormat="1" applyFont="1" applyBorder="1" applyAlignment="1">
      <alignment vertical="center" wrapText="1"/>
    </xf>
    <xf numFmtId="3" fontId="11" fillId="0" borderId="27" xfId="0" applyNumberFormat="1" applyFont="1" applyBorder="1" applyAlignment="1">
      <alignment vertical="center" wrapText="1"/>
    </xf>
    <xf numFmtId="3" fontId="11" fillId="0" borderId="58" xfId="0" applyNumberFormat="1" applyFont="1" applyBorder="1" applyAlignment="1">
      <alignment vertical="center" wrapText="1"/>
    </xf>
    <xf numFmtId="3" fontId="11" fillId="0" borderId="21" xfId="0" applyNumberFormat="1" applyFont="1" applyBorder="1" applyAlignment="1">
      <alignment vertical="center" wrapText="1"/>
    </xf>
    <xf numFmtId="49" fontId="11" fillId="0" borderId="25" xfId="0" applyNumberFormat="1" applyFont="1" applyBorder="1" applyAlignment="1">
      <alignment horizontal="center" vertical="center"/>
    </xf>
    <xf numFmtId="49" fontId="11" fillId="0" borderId="23" xfId="0" applyNumberFormat="1" applyFont="1" applyBorder="1" applyAlignment="1">
      <alignment horizontal="center" vertical="center"/>
    </xf>
    <xf numFmtId="49" fontId="11" fillId="0" borderId="30" xfId="0" applyNumberFormat="1" applyFont="1" applyBorder="1" applyAlignment="1">
      <alignment horizontal="center" vertical="center"/>
    </xf>
    <xf numFmtId="49" fontId="11" fillId="0" borderId="25" xfId="0" applyNumberFormat="1" applyFont="1" applyBorder="1" applyAlignment="1">
      <alignment horizontal="center" vertical="center" wrapText="1"/>
    </xf>
    <xf numFmtId="49" fontId="11" fillId="0" borderId="37" xfId="0" applyNumberFormat="1" applyFont="1" applyBorder="1" applyAlignment="1">
      <alignment horizontal="center" vertical="center" wrapText="1"/>
    </xf>
    <xf numFmtId="3" fontId="11" fillId="0" borderId="31" xfId="1" applyNumberFormat="1" applyBorder="1" applyAlignment="1">
      <alignment horizontal="right" vertical="center" wrapText="1"/>
    </xf>
    <xf numFmtId="3" fontId="11" fillId="0" borderId="26" xfId="1" applyNumberFormat="1" applyBorder="1" applyAlignment="1">
      <alignment horizontal="right" vertical="center" wrapText="1"/>
    </xf>
    <xf numFmtId="3" fontId="18" fillId="0" borderId="26" xfId="0" applyNumberFormat="1" applyFont="1" applyBorder="1" applyAlignment="1">
      <alignment horizontal="right" vertical="center" wrapText="1"/>
    </xf>
    <xf numFmtId="3" fontId="17" fillId="0" borderId="20" xfId="0" applyNumberFormat="1" applyFont="1" applyBorder="1" applyAlignment="1">
      <alignment horizontal="right" vertical="center" wrapText="1"/>
    </xf>
    <xf numFmtId="3" fontId="17" fillId="0" borderId="32" xfId="0" applyNumberFormat="1" applyFont="1" applyBorder="1" applyAlignment="1">
      <alignment horizontal="right" vertical="center" wrapText="1"/>
    </xf>
    <xf numFmtId="49" fontId="17" fillId="0" borderId="37" xfId="0" applyNumberFormat="1" applyFont="1" applyBorder="1" applyAlignment="1">
      <alignment horizontal="center" vertical="center" wrapText="1"/>
    </xf>
    <xf numFmtId="49" fontId="17" fillId="0" borderId="31" xfId="0" applyNumberFormat="1" applyFont="1" applyBorder="1" applyAlignment="1">
      <alignment horizontal="center" vertical="center" wrapText="1"/>
    </xf>
    <xf numFmtId="49" fontId="17" fillId="0" borderId="26" xfId="0" applyNumberFormat="1" applyFont="1" applyBorder="1" applyAlignment="1">
      <alignment horizontal="center" vertical="center" wrapText="1"/>
    </xf>
    <xf numFmtId="3" fontId="17" fillId="0" borderId="1" xfId="0" applyNumberFormat="1" applyFont="1" applyBorder="1" applyAlignment="1">
      <alignment horizontal="right" vertical="center" wrapText="1"/>
    </xf>
    <xf numFmtId="3" fontId="36" fillId="0" borderId="18" xfId="0" applyNumberFormat="1" applyFont="1" applyBorder="1" applyAlignment="1">
      <alignment horizontal="right" vertical="center" wrapText="1"/>
    </xf>
    <xf numFmtId="3" fontId="19" fillId="0" borderId="56" xfId="0" applyNumberFormat="1" applyFont="1" applyBorder="1" applyAlignment="1">
      <alignment horizontal="right" vertical="center" wrapText="1"/>
    </xf>
    <xf numFmtId="3" fontId="19" fillId="0" borderId="6" xfId="0" applyNumberFormat="1" applyFont="1" applyBorder="1" applyAlignment="1">
      <alignment horizontal="right" vertical="center" wrapText="1"/>
    </xf>
    <xf numFmtId="3" fontId="19" fillId="0" borderId="38" xfId="0" applyNumberFormat="1" applyFont="1" applyBorder="1" applyAlignment="1">
      <alignment horizontal="right" vertical="center" wrapText="1"/>
    </xf>
    <xf numFmtId="3" fontId="19" fillId="0" borderId="5" xfId="0" applyNumberFormat="1" applyFont="1" applyBorder="1" applyAlignment="1">
      <alignment horizontal="right" vertical="center" wrapText="1"/>
    </xf>
    <xf numFmtId="2" fontId="20" fillId="0" borderId="18" xfId="0" applyNumberFormat="1" applyFont="1" applyBorder="1" applyAlignment="1">
      <alignment horizontal="center" vertical="center" wrapText="1"/>
    </xf>
    <xf numFmtId="49" fontId="19" fillId="0" borderId="5" xfId="0" applyNumberFormat="1" applyFont="1" applyBorder="1" applyAlignment="1">
      <alignment horizontal="center" vertical="center" wrapText="1"/>
    </xf>
    <xf numFmtId="49" fontId="19" fillId="0" borderId="12" xfId="0" applyNumberFormat="1" applyFont="1" applyBorder="1" applyAlignment="1">
      <alignment horizontal="center" vertical="center" wrapText="1"/>
    </xf>
    <xf numFmtId="49" fontId="19" fillId="0" borderId="18" xfId="0" applyNumberFormat="1" applyFont="1" applyBorder="1" applyAlignment="1">
      <alignment horizontal="center" vertical="center" wrapText="1"/>
    </xf>
    <xf numFmtId="3" fontId="21" fillId="0" borderId="23" xfId="0" applyNumberFormat="1" applyFont="1" applyBorder="1" applyAlignment="1">
      <alignment horizontal="right" vertical="center" wrapText="1"/>
    </xf>
    <xf numFmtId="3" fontId="20" fillId="0" borderId="21" xfId="0" applyNumberFormat="1" applyFont="1" applyBorder="1" applyAlignment="1">
      <alignment horizontal="right" vertical="center" wrapText="1"/>
    </xf>
    <xf numFmtId="3" fontId="20" fillId="0" borderId="24" xfId="0" applyNumberFormat="1" applyFont="1" applyBorder="1" applyAlignment="1">
      <alignment horizontal="right" vertical="center" wrapText="1"/>
    </xf>
    <xf numFmtId="3" fontId="20" fillId="0" borderId="44" xfId="0" applyNumberFormat="1" applyFont="1" applyBorder="1" applyAlignment="1">
      <alignment horizontal="right" vertical="center" wrapText="1"/>
    </xf>
    <xf numFmtId="49" fontId="20" fillId="0" borderId="27" xfId="0" applyNumberFormat="1" applyFont="1" applyBorder="1" applyAlignment="1">
      <alignment horizontal="center" vertical="center" wrapText="1"/>
    </xf>
    <xf numFmtId="49" fontId="20" fillId="0" borderId="25" xfId="0" applyNumberFormat="1" applyFont="1" applyBorder="1" applyAlignment="1">
      <alignment horizontal="center" vertical="center" wrapText="1"/>
    </xf>
    <xf numFmtId="49" fontId="20" fillId="0" borderId="23" xfId="0" applyNumberFormat="1" applyFont="1" applyBorder="1" applyAlignment="1">
      <alignment horizontal="center" vertical="center" wrapText="1"/>
    </xf>
    <xf numFmtId="3" fontId="36" fillId="0" borderId="23" xfId="0" applyNumberFormat="1" applyFont="1" applyBorder="1" applyAlignment="1">
      <alignment horizontal="right" vertical="center" wrapText="1"/>
    </xf>
    <xf numFmtId="3" fontId="19" fillId="0" borderId="21" xfId="0" applyNumberFormat="1" applyFont="1" applyBorder="1" applyAlignment="1">
      <alignment horizontal="right" vertical="center" wrapText="1"/>
    </xf>
    <xf numFmtId="3" fontId="19" fillId="0" borderId="24" xfId="0" applyNumberFormat="1" applyFont="1" applyBorder="1" applyAlignment="1">
      <alignment horizontal="right" vertical="center" wrapText="1"/>
    </xf>
    <xf numFmtId="3" fontId="19" fillId="0" borderId="44" xfId="0" applyNumberFormat="1" applyFont="1" applyBorder="1" applyAlignment="1">
      <alignment horizontal="right" vertical="center" wrapText="1"/>
    </xf>
    <xf numFmtId="3" fontId="19" fillId="0" borderId="27" xfId="0" applyNumberFormat="1" applyFont="1" applyBorder="1" applyAlignment="1">
      <alignment horizontal="right" vertical="center" wrapText="1"/>
    </xf>
    <xf numFmtId="2" fontId="19" fillId="0" borderId="23" xfId="0" applyNumberFormat="1" applyFont="1" applyBorder="1" applyAlignment="1">
      <alignment horizontal="center" vertical="center" wrapText="1"/>
    </xf>
    <xf numFmtId="49" fontId="19" fillId="0" borderId="27" xfId="0" applyNumberFormat="1" applyFont="1" applyBorder="1" applyAlignment="1">
      <alignment horizontal="center" vertical="center" wrapText="1"/>
    </xf>
    <xf numFmtId="49" fontId="19" fillId="0" borderId="25" xfId="0" applyNumberFormat="1" applyFont="1" applyBorder="1" applyAlignment="1">
      <alignment horizontal="center" vertical="center" wrapText="1"/>
    </xf>
    <xf numFmtId="49" fontId="19" fillId="0" borderId="23" xfId="0" applyNumberFormat="1" applyFont="1" applyBorder="1" applyAlignment="1">
      <alignment horizontal="center" vertical="center" wrapText="1"/>
    </xf>
    <xf numFmtId="3" fontId="16" fillId="0" borderId="13" xfId="0" applyNumberFormat="1" applyFont="1" applyBorder="1" applyAlignment="1">
      <alignment horizontal="right" vertical="center" wrapText="1"/>
    </xf>
    <xf numFmtId="3" fontId="15" fillId="0" borderId="48" xfId="0" applyNumberFormat="1" applyFont="1" applyBorder="1" applyAlignment="1">
      <alignment horizontal="right" vertical="center" wrapText="1"/>
    </xf>
    <xf numFmtId="3" fontId="15" fillId="0" borderId="45" xfId="0" applyNumberFormat="1" applyFont="1" applyBorder="1" applyAlignment="1">
      <alignment horizontal="right" vertical="center" wrapText="1"/>
    </xf>
    <xf numFmtId="3" fontId="15" fillId="0" borderId="54" xfId="0" applyNumberFormat="1" applyFont="1" applyBorder="1" applyAlignment="1">
      <alignment horizontal="right" vertical="center" wrapText="1"/>
    </xf>
    <xf numFmtId="49" fontId="15" fillId="0" borderId="19" xfId="0" applyNumberFormat="1" applyFont="1" applyBorder="1" applyAlignment="1">
      <alignment horizontal="center" vertical="center" wrapText="1"/>
    </xf>
    <xf numFmtId="49" fontId="15" fillId="0" borderId="15" xfId="0" applyNumberFormat="1" applyFont="1" applyBorder="1" applyAlignment="1">
      <alignment horizontal="center" vertical="center" wrapText="1"/>
    </xf>
    <xf numFmtId="49" fontId="15" fillId="0" borderId="13" xfId="0" applyNumberFormat="1" applyFont="1" applyBorder="1" applyAlignment="1">
      <alignment horizontal="center" vertical="center" wrapText="1"/>
    </xf>
    <xf numFmtId="2" fontId="20" fillId="0" borderId="23" xfId="0" applyNumberFormat="1" applyFont="1" applyBorder="1" applyAlignment="1">
      <alignment horizontal="center" vertical="center" wrapText="1"/>
    </xf>
    <xf numFmtId="49" fontId="11" fillId="0" borderId="19" xfId="0" applyNumberFormat="1" applyFont="1" applyBorder="1" applyAlignment="1">
      <alignment horizontal="center" vertical="center" wrapText="1"/>
    </xf>
    <xf numFmtId="49" fontId="11" fillId="0" borderId="15" xfId="0" applyNumberFormat="1" applyFont="1" applyBorder="1" applyAlignment="1">
      <alignment horizontal="center" vertical="center" wrapText="1"/>
    </xf>
    <xf numFmtId="2" fontId="11" fillId="0" borderId="23" xfId="0" applyNumberFormat="1" applyFont="1" applyBorder="1" applyAlignment="1">
      <alignment horizontal="center" vertical="center" wrapText="1"/>
    </xf>
    <xf numFmtId="49" fontId="11" fillId="0" borderId="27" xfId="0" applyNumberFormat="1" applyFont="1" applyBorder="1" applyAlignment="1">
      <alignment horizontal="center" vertical="center" wrapText="1"/>
    </xf>
    <xf numFmtId="2" fontId="17" fillId="0" borderId="26" xfId="0" applyNumberFormat="1" applyFont="1" applyBorder="1" applyAlignment="1">
      <alignment horizontal="center" vertical="center" wrapText="1"/>
    </xf>
    <xf numFmtId="49" fontId="17" fillId="0" borderId="27" xfId="0" applyNumberFormat="1" applyFont="1" applyBorder="1" applyAlignment="1">
      <alignment horizontal="center" vertical="center" wrapText="1"/>
    </xf>
    <xf numFmtId="2" fontId="11" fillId="0" borderId="26" xfId="0" applyNumberFormat="1" applyFont="1" applyBorder="1" applyAlignment="1">
      <alignment horizontal="center" vertical="center" wrapText="1"/>
    </xf>
    <xf numFmtId="2" fontId="11" fillId="0" borderId="13" xfId="0" applyNumberFormat="1" applyFont="1" applyBorder="1" applyAlignment="1">
      <alignment horizontal="center" vertical="center" wrapText="1"/>
    </xf>
    <xf numFmtId="3" fontId="18" fillId="0" borderId="23" xfId="0" applyNumberFormat="1" applyFont="1" applyBorder="1" applyAlignment="1">
      <alignment horizontal="right" vertical="center" wrapText="1"/>
    </xf>
    <xf numFmtId="49" fontId="17" fillId="0" borderId="25" xfId="0" applyNumberFormat="1" applyFont="1" applyBorder="1" applyAlignment="1">
      <alignment horizontal="center" vertical="center" wrapText="1"/>
    </xf>
    <xf numFmtId="3" fontId="11" fillId="0" borderId="33" xfId="0" applyNumberFormat="1" applyFont="1" applyBorder="1" applyAlignment="1">
      <alignment horizontal="right" vertical="center" wrapText="1"/>
    </xf>
    <xf numFmtId="3" fontId="11" fillId="0" borderId="43" xfId="0" applyNumberFormat="1" applyFont="1" applyBorder="1" applyAlignment="1">
      <alignment horizontal="right" vertical="center" wrapText="1"/>
    </xf>
    <xf numFmtId="3" fontId="11" fillId="0" borderId="35" xfId="0" applyNumberFormat="1" applyFont="1" applyBorder="1" applyAlignment="1">
      <alignment horizontal="right" vertical="center" wrapText="1"/>
    </xf>
    <xf numFmtId="3" fontId="11" fillId="0" borderId="40" xfId="0" applyNumberFormat="1" applyFont="1" applyBorder="1" applyAlignment="1">
      <alignment horizontal="right" vertical="center" wrapText="1"/>
    </xf>
    <xf numFmtId="2" fontId="11" fillId="0" borderId="33" xfId="0" applyNumberFormat="1" applyFont="1" applyBorder="1" applyAlignment="1">
      <alignment horizontal="center" vertical="center" wrapText="1"/>
    </xf>
    <xf numFmtId="49" fontId="11" fillId="0" borderId="40" xfId="0" applyNumberFormat="1" applyFont="1" applyBorder="1" applyAlignment="1">
      <alignment horizontal="center" vertical="center" wrapText="1"/>
    </xf>
    <xf numFmtId="49" fontId="11" fillId="0" borderId="28" xfId="0" applyNumberFormat="1" applyFont="1" applyBorder="1" applyAlignment="1">
      <alignment horizontal="center" vertical="center" wrapText="1"/>
    </xf>
    <xf numFmtId="49" fontId="11" fillId="0" borderId="33" xfId="0" applyNumberFormat="1" applyFont="1" applyBorder="1" applyAlignment="1">
      <alignment horizontal="center" vertical="center" wrapText="1"/>
    </xf>
    <xf numFmtId="3" fontId="21" fillId="0" borderId="14" xfId="0" applyNumberFormat="1" applyFont="1" applyBorder="1" applyAlignment="1">
      <alignment horizontal="right" vertical="center" wrapText="1"/>
    </xf>
    <xf numFmtId="3" fontId="20" fillId="0" borderId="48" xfId="0" applyNumberFormat="1" applyFont="1" applyBorder="1" applyAlignment="1">
      <alignment horizontal="right" vertical="center" wrapText="1"/>
    </xf>
    <xf numFmtId="3" fontId="20" fillId="0" borderId="45" xfId="0" applyNumberFormat="1" applyFont="1" applyBorder="1" applyAlignment="1">
      <alignment horizontal="right" vertical="center" wrapText="1"/>
    </xf>
    <xf numFmtId="3" fontId="20" fillId="0" borderId="54" xfId="0" applyNumberFormat="1" applyFont="1" applyBorder="1" applyAlignment="1">
      <alignment horizontal="right" vertical="center" wrapText="1"/>
    </xf>
    <xf numFmtId="3" fontId="20" fillId="0" borderId="19" xfId="0" applyNumberFormat="1" applyFont="1" applyBorder="1" applyAlignment="1">
      <alignment horizontal="right" vertical="center" wrapText="1"/>
    </xf>
    <xf numFmtId="2" fontId="20" fillId="0" borderId="13" xfId="0" applyNumberFormat="1" applyFont="1" applyBorder="1" applyAlignment="1">
      <alignment horizontal="center" vertical="center" wrapText="1"/>
    </xf>
    <xf numFmtId="49" fontId="20" fillId="0" borderId="19" xfId="0" applyNumberFormat="1" applyFont="1" applyBorder="1" applyAlignment="1">
      <alignment horizontal="center" vertical="center" wrapText="1"/>
    </xf>
    <xf numFmtId="49" fontId="20" fillId="0" borderId="15" xfId="0" applyNumberFormat="1" applyFont="1" applyBorder="1" applyAlignment="1">
      <alignment horizontal="center" vertical="center" wrapText="1"/>
    </xf>
    <xf numFmtId="49" fontId="20" fillId="0" borderId="13" xfId="0" applyNumberFormat="1" applyFont="1" applyBorder="1" applyAlignment="1">
      <alignment horizontal="center" vertical="center" wrapText="1"/>
    </xf>
    <xf numFmtId="3" fontId="16" fillId="0" borderId="23" xfId="0" applyNumberFormat="1" applyFont="1" applyBorder="1" applyAlignment="1">
      <alignment horizontal="right" vertical="center" wrapText="1"/>
    </xf>
    <xf numFmtId="3" fontId="15" fillId="0" borderId="20" xfId="0" applyNumberFormat="1" applyFont="1" applyBorder="1" applyAlignment="1">
      <alignment horizontal="right" vertical="center" wrapText="1"/>
    </xf>
    <xf numFmtId="3" fontId="15" fillId="0" borderId="32" xfId="0" applyNumberFormat="1" applyFont="1" applyBorder="1" applyAlignment="1">
      <alignment horizontal="right" vertical="center" wrapText="1"/>
    </xf>
    <xf numFmtId="3" fontId="15" fillId="0" borderId="36" xfId="0" applyNumberFormat="1" applyFont="1" applyBorder="1" applyAlignment="1">
      <alignment horizontal="right" vertical="center" wrapText="1"/>
    </xf>
    <xf numFmtId="2" fontId="15" fillId="0" borderId="26" xfId="0" applyNumberFormat="1" applyFont="1" applyBorder="1" applyAlignment="1">
      <alignment horizontal="center" vertical="center" wrapText="1"/>
    </xf>
    <xf numFmtId="49" fontId="15" fillId="0" borderId="23" xfId="0" applyNumberFormat="1" applyFont="1" applyBorder="1" applyAlignment="1">
      <alignment horizontal="center" vertical="center" wrapText="1"/>
    </xf>
    <xf numFmtId="49" fontId="15" fillId="0" borderId="26" xfId="0" applyNumberFormat="1" applyFont="1" applyBorder="1" applyAlignment="1">
      <alignment horizontal="center" vertical="center" wrapText="1"/>
    </xf>
    <xf numFmtId="0" fontId="15" fillId="0" borderId="26" xfId="1" applyFont="1" applyBorder="1" applyAlignment="1">
      <alignment horizontal="center" vertical="center" wrapText="1"/>
    </xf>
    <xf numFmtId="3" fontId="16" fillId="0" borderId="26" xfId="0" applyNumberFormat="1" applyFont="1" applyBorder="1" applyAlignment="1">
      <alignment horizontal="right" vertical="center" wrapText="1"/>
    </xf>
    <xf numFmtId="3" fontId="15" fillId="0" borderId="41" xfId="0" applyNumberFormat="1" applyFont="1" applyBorder="1" applyAlignment="1">
      <alignment horizontal="right" vertical="center" wrapText="1"/>
    </xf>
    <xf numFmtId="2" fontId="15" fillId="0" borderId="22" xfId="0" applyNumberFormat="1" applyFont="1" applyBorder="1" applyAlignment="1">
      <alignment horizontal="center" vertical="center" wrapText="1"/>
    </xf>
    <xf numFmtId="49" fontId="17" fillId="0" borderId="23" xfId="0" applyNumberFormat="1" applyFont="1" applyBorder="1" applyAlignment="1">
      <alignment horizontal="center" vertical="center" wrapText="1"/>
    </xf>
    <xf numFmtId="3" fontId="19" fillId="0" borderId="20" xfId="0" applyNumberFormat="1" applyFont="1" applyBorder="1" applyAlignment="1">
      <alignment horizontal="right" vertical="center" wrapText="1"/>
    </xf>
    <xf numFmtId="2" fontId="19" fillId="0" borderId="26" xfId="0" applyNumberFormat="1" applyFont="1" applyBorder="1" applyAlignment="1">
      <alignment horizontal="center" vertical="center" wrapText="1"/>
    </xf>
    <xf numFmtId="49" fontId="19" fillId="0" borderId="26" xfId="0" applyNumberFormat="1" applyFont="1" applyBorder="1" applyAlignment="1">
      <alignment horizontal="center" vertical="center" wrapText="1"/>
    </xf>
    <xf numFmtId="3" fontId="15" fillId="0" borderId="21" xfId="0" applyNumberFormat="1" applyFont="1" applyBorder="1" applyAlignment="1">
      <alignment horizontal="right" vertical="center" wrapText="1"/>
    </xf>
    <xf numFmtId="3" fontId="15" fillId="0" borderId="75" xfId="0" applyNumberFormat="1" applyFont="1" applyBorder="1" applyAlignment="1">
      <alignment horizontal="right" vertical="center" wrapText="1"/>
    </xf>
    <xf numFmtId="3" fontId="15" fillId="0" borderId="27" xfId="0" applyNumberFormat="1" applyFont="1" applyBorder="1" applyAlignment="1">
      <alignment horizontal="right" vertical="center" wrapText="1"/>
    </xf>
    <xf numFmtId="0" fontId="15" fillId="0" borderId="23" xfId="1" applyFont="1" applyBorder="1" applyAlignment="1">
      <alignment horizontal="center" vertical="center" wrapText="1"/>
    </xf>
    <xf numFmtId="3" fontId="17" fillId="0" borderId="48" xfId="0" applyNumberFormat="1" applyFont="1" applyBorder="1" applyAlignment="1">
      <alignment horizontal="right" vertical="center" wrapText="1"/>
    </xf>
    <xf numFmtId="3" fontId="17" fillId="0" borderId="19" xfId="0" applyNumberFormat="1" applyFont="1" applyBorder="1" applyAlignment="1">
      <alignment horizontal="right" vertical="center" wrapText="1"/>
    </xf>
    <xf numFmtId="2" fontId="17" fillId="0" borderId="13" xfId="0" applyNumberFormat="1" applyFont="1" applyBorder="1" applyAlignment="1">
      <alignment horizontal="center" vertical="center" wrapText="1"/>
    </xf>
    <xf numFmtId="49" fontId="17" fillId="0" borderId="13" xfId="0" applyNumberFormat="1" applyFont="1" applyBorder="1" applyAlignment="1">
      <alignment horizontal="center" vertical="center" wrapText="1"/>
    </xf>
    <xf numFmtId="3" fontId="15" fillId="0" borderId="17" xfId="0" applyNumberFormat="1" applyFont="1" applyBorder="1" applyAlignment="1">
      <alignment horizontal="right" vertical="center" wrapText="1"/>
    </xf>
    <xf numFmtId="49" fontId="15" fillId="0" borderId="1" xfId="0" applyNumberFormat="1" applyFont="1" applyBorder="1" applyAlignment="1">
      <alignment horizontal="center" vertical="center" wrapText="1"/>
    </xf>
    <xf numFmtId="3" fontId="20" fillId="0" borderId="75" xfId="0" applyNumberFormat="1" applyFont="1" applyBorder="1" applyAlignment="1">
      <alignment horizontal="right" vertical="center" wrapText="1"/>
    </xf>
    <xf numFmtId="2" fontId="20" fillId="0" borderId="26" xfId="0" applyNumberFormat="1" applyFont="1" applyBorder="1" applyAlignment="1">
      <alignment horizontal="center" vertical="center" wrapText="1"/>
    </xf>
    <xf numFmtId="49" fontId="20" fillId="0" borderId="26" xfId="0" applyNumberFormat="1" applyFont="1" applyBorder="1" applyAlignment="1">
      <alignment horizontal="center" vertical="center" wrapText="1"/>
    </xf>
    <xf numFmtId="3" fontId="21" fillId="0" borderId="13" xfId="0" applyNumberFormat="1" applyFont="1" applyBorder="1" applyAlignment="1">
      <alignment horizontal="right" vertical="center" wrapText="1"/>
    </xf>
    <xf numFmtId="0" fontId="20" fillId="0" borderId="15" xfId="0" applyFont="1" applyBorder="1" applyAlignment="1">
      <alignment horizontal="center" vertical="center" wrapText="1"/>
    </xf>
    <xf numFmtId="3" fontId="15" fillId="0" borderId="24" xfId="0" applyNumberFormat="1" applyFont="1" applyBorder="1" applyAlignment="1">
      <alignment horizontal="right" vertical="center" wrapText="1"/>
    </xf>
    <xf numFmtId="0" fontId="15" fillId="0" borderId="25" xfId="0" applyFont="1" applyBorder="1" applyAlignment="1">
      <alignment horizontal="center" vertical="center" wrapText="1"/>
    </xf>
    <xf numFmtId="3" fontId="34" fillId="0" borderId="23" xfId="0" applyNumberFormat="1" applyFont="1" applyBorder="1" applyAlignment="1">
      <alignment horizontal="right" vertical="center" wrapText="1"/>
    </xf>
    <xf numFmtId="3" fontId="25" fillId="0" borderId="24" xfId="0" applyNumberFormat="1" applyFont="1" applyBorder="1" applyAlignment="1">
      <alignment horizontal="right" vertical="center" wrapText="1"/>
    </xf>
    <xf numFmtId="3" fontId="25" fillId="0" borderId="21" xfId="0" applyNumberFormat="1" applyFont="1" applyBorder="1" applyAlignment="1">
      <alignment horizontal="right" vertical="center" wrapText="1"/>
    </xf>
    <xf numFmtId="3" fontId="25" fillId="0" borderId="47" xfId="0" applyNumberFormat="1" applyFont="1" applyBorder="1" applyAlignment="1">
      <alignment horizontal="right" vertical="center" wrapText="1"/>
    </xf>
    <xf numFmtId="3" fontId="25" fillId="0" borderId="36" xfId="0" applyNumberFormat="1" applyFont="1" applyBorder="1" applyAlignment="1">
      <alignment horizontal="right" vertical="center" wrapText="1"/>
    </xf>
    <xf numFmtId="3" fontId="25" fillId="0" borderId="20" xfId="0" applyNumberFormat="1" applyFont="1" applyBorder="1" applyAlignment="1">
      <alignment horizontal="right" vertical="center" wrapText="1"/>
    </xf>
    <xf numFmtId="3" fontId="25" fillId="0" borderId="32" xfId="0" applyNumberFormat="1" applyFont="1" applyBorder="1" applyAlignment="1">
      <alignment horizontal="right" vertical="center" wrapText="1"/>
    </xf>
    <xf numFmtId="2" fontId="25" fillId="0" borderId="23" xfId="0" applyNumberFormat="1" applyFont="1" applyBorder="1" applyAlignment="1">
      <alignment horizontal="center" vertical="center" wrapText="1"/>
    </xf>
    <xf numFmtId="49" fontId="25" fillId="0" borderId="25" xfId="0" applyNumberFormat="1" applyFont="1" applyBorder="1" applyAlignment="1">
      <alignment horizontal="center" vertical="center" wrapText="1"/>
    </xf>
    <xf numFmtId="0" fontId="25" fillId="0" borderId="25" xfId="0" applyFont="1" applyBorder="1" applyAlignment="1">
      <alignment horizontal="center" vertical="center" wrapText="1"/>
    </xf>
    <xf numFmtId="49" fontId="25" fillId="0" borderId="23" xfId="0" applyNumberFormat="1" applyFont="1" applyBorder="1" applyAlignment="1">
      <alignment horizontal="center" vertical="center" wrapText="1"/>
    </xf>
    <xf numFmtId="0" fontId="25" fillId="0" borderId="23" xfId="1" applyFont="1" applyBorder="1" applyAlignment="1">
      <alignment horizontal="center" vertical="center" wrapText="1"/>
    </xf>
    <xf numFmtId="3" fontId="17" fillId="0" borderId="24" xfId="0" applyNumberFormat="1" applyFont="1" applyBorder="1" applyAlignment="1">
      <alignment horizontal="right" vertical="center" wrapText="1"/>
    </xf>
    <xf numFmtId="3" fontId="17" fillId="0" borderId="21" xfId="0" applyNumberFormat="1" applyFont="1" applyBorder="1" applyAlignment="1">
      <alignment horizontal="right" vertical="center" wrapText="1"/>
    </xf>
    <xf numFmtId="2" fontId="17" fillId="0" borderId="23" xfId="0" applyNumberFormat="1" applyFont="1" applyBorder="1" applyAlignment="1">
      <alignment horizontal="center" vertical="center" wrapText="1"/>
    </xf>
    <xf numFmtId="0" fontId="17" fillId="0" borderId="25" xfId="0" applyFont="1" applyBorder="1" applyAlignment="1">
      <alignment horizontal="center" vertical="center" wrapText="1"/>
    </xf>
    <xf numFmtId="0" fontId="17" fillId="0" borderId="23" xfId="1" applyFont="1" applyBorder="1" applyAlignment="1">
      <alignment horizontal="center" vertical="center" wrapText="1"/>
    </xf>
    <xf numFmtId="3" fontId="17" fillId="0" borderId="45" xfId="0" applyNumberFormat="1" applyFont="1" applyBorder="1" applyAlignment="1">
      <alignment horizontal="right" vertical="center" wrapText="1"/>
    </xf>
    <xf numFmtId="49" fontId="17" fillId="0" borderId="15" xfId="0" applyNumberFormat="1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165" fontId="11" fillId="0" borderId="60" xfId="0" applyNumberFormat="1" applyFont="1" applyBorder="1" applyAlignment="1">
      <alignment horizontal="center" vertical="center" wrapText="1"/>
    </xf>
    <xf numFmtId="3" fontId="17" fillId="0" borderId="16" xfId="0" applyNumberFormat="1" applyFont="1" applyBorder="1" applyAlignment="1">
      <alignment vertical="center"/>
    </xf>
    <xf numFmtId="3" fontId="17" fillId="0" borderId="72" xfId="0" applyNumberFormat="1" applyFont="1" applyBorder="1" applyAlignment="1">
      <alignment horizontal="right" vertical="center"/>
    </xf>
    <xf numFmtId="3" fontId="17" fillId="0" borderId="69" xfId="0" applyNumberFormat="1" applyFont="1" applyBorder="1" applyAlignment="1">
      <alignment horizontal="right" vertical="center"/>
    </xf>
    <xf numFmtId="3" fontId="17" fillId="0" borderId="16" xfId="0" applyNumberFormat="1" applyFont="1" applyBorder="1" applyAlignment="1">
      <alignment horizontal="right" vertical="center"/>
    </xf>
    <xf numFmtId="49" fontId="17" fillId="0" borderId="30" xfId="0" applyNumberFormat="1" applyFont="1" applyBorder="1" applyAlignment="1">
      <alignment horizontal="center" vertical="center" wrapText="1"/>
    </xf>
    <xf numFmtId="3" fontId="17" fillId="0" borderId="14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vertical="center"/>
    </xf>
    <xf numFmtId="3" fontId="11" fillId="0" borderId="38" xfId="0" applyNumberFormat="1" applyFont="1" applyBorder="1" applyAlignment="1">
      <alignment horizontal="right" vertical="center"/>
    </xf>
    <xf numFmtId="3" fontId="11" fillId="0" borderId="56" xfId="0" applyNumberFormat="1" applyFont="1" applyBorder="1" applyAlignment="1">
      <alignment horizontal="right" vertical="center"/>
    </xf>
    <xf numFmtId="3" fontId="11" fillId="0" borderId="6" xfId="0" applyNumberFormat="1" applyFont="1" applyBorder="1" applyAlignment="1">
      <alignment horizontal="right" vertical="center"/>
    </xf>
    <xf numFmtId="3" fontId="11" fillId="0" borderId="20" xfId="0" applyNumberFormat="1" applyFont="1" applyBorder="1" applyAlignment="1">
      <alignment horizontal="right" vertical="center"/>
    </xf>
    <xf numFmtId="3" fontId="11" fillId="0" borderId="47" xfId="0" applyNumberFormat="1" applyFont="1" applyBorder="1" applyAlignment="1">
      <alignment vertical="center"/>
    </xf>
    <xf numFmtId="3" fontId="11" fillId="0" borderId="20" xfId="0" applyNumberFormat="1" applyFont="1" applyBorder="1" applyAlignment="1">
      <alignment vertical="center"/>
    </xf>
    <xf numFmtId="3" fontId="11" fillId="0" borderId="37" xfId="0" applyNumberFormat="1" applyFont="1" applyBorder="1" applyAlignment="1">
      <alignment vertical="center"/>
    </xf>
    <xf numFmtId="3" fontId="11" fillId="0" borderId="44" xfId="0" applyNumberFormat="1" applyFont="1" applyBorder="1" applyAlignment="1">
      <alignment horizontal="center" vertical="center" wrapText="1"/>
    </xf>
    <xf numFmtId="3" fontId="11" fillId="0" borderId="72" xfId="0" applyNumberFormat="1" applyFont="1" applyBorder="1" applyAlignment="1">
      <alignment horizontal="right" vertical="center"/>
    </xf>
    <xf numFmtId="3" fontId="11" fillId="0" borderId="69" xfId="0" applyNumberFormat="1" applyFont="1" applyBorder="1" applyAlignment="1">
      <alignment horizontal="right" vertical="center"/>
    </xf>
    <xf numFmtId="3" fontId="11" fillId="0" borderId="1" xfId="0" applyNumberFormat="1" applyFont="1" applyBorder="1" applyAlignment="1">
      <alignment horizontal="right" vertical="center"/>
    </xf>
    <xf numFmtId="3" fontId="11" fillId="0" borderId="68" xfId="0" applyNumberFormat="1" applyFont="1" applyBorder="1" applyAlignment="1">
      <alignment vertical="center"/>
    </xf>
    <xf numFmtId="3" fontId="11" fillId="0" borderId="69" xfId="0" applyNumberFormat="1" applyFont="1" applyBorder="1" applyAlignment="1">
      <alignment vertical="center"/>
    </xf>
    <xf numFmtId="3" fontId="11" fillId="0" borderId="1" xfId="0" applyNumberFormat="1" applyFont="1" applyBorder="1" applyAlignment="1">
      <alignment vertical="center"/>
    </xf>
    <xf numFmtId="3" fontId="11" fillId="0" borderId="5" xfId="0" applyNumberFormat="1" applyFont="1" applyBorder="1" applyAlignment="1">
      <alignment horizontal="right" vertical="center"/>
    </xf>
    <xf numFmtId="3" fontId="11" fillId="0" borderId="38" xfId="0" applyNumberFormat="1" applyFont="1" applyBorder="1" applyAlignment="1">
      <alignment horizontal="center" vertical="center" wrapText="1"/>
    </xf>
    <xf numFmtId="3" fontId="17" fillId="0" borderId="1" xfId="0" applyNumberFormat="1" applyFont="1" applyBorder="1" applyAlignment="1">
      <alignment horizontal="right" vertical="center"/>
    </xf>
    <xf numFmtId="3" fontId="19" fillId="0" borderId="27" xfId="0" applyNumberFormat="1" applyFont="1" applyBorder="1" applyAlignment="1">
      <alignment horizontal="right" vertical="center"/>
    </xf>
    <xf numFmtId="3" fontId="19" fillId="0" borderId="20" xfId="0" applyNumberFormat="1" applyFont="1" applyBorder="1" applyAlignment="1">
      <alignment horizontal="right" vertical="center"/>
    </xf>
    <xf numFmtId="3" fontId="19" fillId="0" borderId="44" xfId="0" applyNumberFormat="1" applyFont="1" applyBorder="1" applyAlignment="1">
      <alignment horizontal="right" vertical="center"/>
    </xf>
    <xf numFmtId="0" fontId="19" fillId="0" borderId="25" xfId="0" applyFont="1" applyBorder="1" applyAlignment="1">
      <alignment horizontal="center" vertical="center" wrapText="1"/>
    </xf>
    <xf numFmtId="0" fontId="19" fillId="0" borderId="31" xfId="0" applyFont="1" applyBorder="1" applyAlignment="1">
      <alignment horizontal="center" vertical="center" wrapText="1"/>
    </xf>
    <xf numFmtId="3" fontId="19" fillId="0" borderId="23" xfId="0" applyNumberFormat="1" applyFont="1" applyBorder="1" applyAlignment="1">
      <alignment horizontal="center" vertical="center" wrapText="1"/>
    </xf>
    <xf numFmtId="3" fontId="11" fillId="0" borderId="31" xfId="0" applyNumberFormat="1" applyFont="1" applyBorder="1" applyAlignment="1">
      <alignment horizontal="right" vertical="center"/>
    </xf>
    <xf numFmtId="3" fontId="11" fillId="0" borderId="21" xfId="0" applyNumberFormat="1" applyFont="1" applyBorder="1" applyAlignment="1">
      <alignment horizontal="right" vertical="center"/>
    </xf>
    <xf numFmtId="3" fontId="11" fillId="0" borderId="48" xfId="0" applyNumberFormat="1" applyFont="1" applyBorder="1" applyAlignment="1">
      <alignment horizontal="right" vertical="center"/>
    </xf>
    <xf numFmtId="3" fontId="11" fillId="0" borderId="22" xfId="0" applyNumberFormat="1" applyFont="1" applyBorder="1" applyAlignment="1">
      <alignment horizontal="center" vertical="center" wrapText="1"/>
    </xf>
    <xf numFmtId="49" fontId="19" fillId="0" borderId="31" xfId="0" applyNumberFormat="1" applyFont="1" applyBorder="1" applyAlignment="1">
      <alignment horizontal="center" vertical="center" wrapText="1"/>
    </xf>
    <xf numFmtId="3" fontId="13" fillId="0" borderId="33" xfId="0" applyNumberFormat="1" applyFont="1" applyBorder="1" applyAlignment="1">
      <alignment horizontal="right" vertical="center" wrapText="1"/>
    </xf>
    <xf numFmtId="3" fontId="11" fillId="0" borderId="35" xfId="0" applyNumberFormat="1" applyFont="1" applyBorder="1" applyAlignment="1">
      <alignment horizontal="right" vertical="center"/>
    </xf>
    <xf numFmtId="3" fontId="11" fillId="0" borderId="49" xfId="0" applyNumberFormat="1" applyFont="1" applyBorder="1" applyAlignment="1">
      <alignment horizontal="right" vertical="center"/>
    </xf>
    <xf numFmtId="3" fontId="11" fillId="0" borderId="43" xfId="0" applyNumberFormat="1" applyFont="1" applyBorder="1" applyAlignment="1">
      <alignment horizontal="right" vertical="center"/>
    </xf>
    <xf numFmtId="3" fontId="11" fillId="0" borderId="70" xfId="0" applyNumberFormat="1" applyFont="1" applyBorder="1" applyAlignment="1">
      <alignment horizontal="right" vertical="center"/>
    </xf>
    <xf numFmtId="3" fontId="11" fillId="0" borderId="33" xfId="0" applyNumberFormat="1" applyFont="1" applyBorder="1" applyAlignment="1">
      <alignment horizontal="center" vertical="center" wrapText="1"/>
    </xf>
    <xf numFmtId="49" fontId="11" fillId="0" borderId="34" xfId="0" applyNumberFormat="1" applyFont="1" applyBorder="1" applyAlignment="1">
      <alignment horizontal="center" vertical="center" wrapText="1"/>
    </xf>
    <xf numFmtId="3" fontId="17" fillId="0" borderId="20" xfId="0" applyNumberFormat="1" applyFont="1" applyBorder="1" applyAlignment="1">
      <alignment horizontal="right" vertical="center"/>
    </xf>
    <xf numFmtId="3" fontId="17" fillId="0" borderId="23" xfId="0" applyNumberFormat="1" applyFont="1" applyBorder="1" applyAlignment="1">
      <alignment horizontal="center" vertical="center" wrapText="1"/>
    </xf>
    <xf numFmtId="3" fontId="17" fillId="0" borderId="26" xfId="0" applyNumberFormat="1" applyFont="1" applyBorder="1" applyAlignment="1">
      <alignment horizontal="center" vertical="center" wrapText="1"/>
    </xf>
    <xf numFmtId="0" fontId="11" fillId="0" borderId="80" xfId="0" applyFont="1" applyBorder="1" applyAlignment="1">
      <alignment horizontal="center" vertical="center" wrapText="1"/>
    </xf>
    <xf numFmtId="3" fontId="19" fillId="0" borderId="32" xfId="0" applyNumberFormat="1" applyFont="1" applyBorder="1" applyAlignment="1">
      <alignment horizontal="right" vertical="center" wrapText="1"/>
    </xf>
    <xf numFmtId="3" fontId="17" fillId="0" borderId="13" xfId="0" applyNumberFormat="1" applyFont="1" applyBorder="1" applyAlignment="1">
      <alignment horizontal="center" vertical="center" wrapText="1"/>
    </xf>
    <xf numFmtId="3" fontId="11" fillId="0" borderId="24" xfId="0" applyNumberFormat="1" applyFont="1" applyBorder="1" applyAlignment="1">
      <alignment horizontal="center" vertical="center" wrapText="1"/>
    </xf>
    <xf numFmtId="3" fontId="11" fillId="0" borderId="32" xfId="0" applyNumberFormat="1" applyFont="1" applyBorder="1" applyAlignment="1">
      <alignment horizontal="center" vertical="center" wrapText="1"/>
    </xf>
    <xf numFmtId="3" fontId="11" fillId="0" borderId="16" xfId="0" applyNumberFormat="1" applyFont="1" applyBorder="1" applyAlignment="1">
      <alignment horizontal="center" vertical="center"/>
    </xf>
    <xf numFmtId="3" fontId="11" fillId="0" borderId="68" xfId="0" applyNumberFormat="1" applyFont="1" applyBorder="1" applyAlignment="1">
      <alignment horizontal="center" vertical="center"/>
    </xf>
    <xf numFmtId="3" fontId="11" fillId="0" borderId="69" xfId="0" applyNumberFormat="1" applyFont="1" applyBorder="1" applyAlignment="1">
      <alignment horizontal="center" vertical="center"/>
    </xf>
    <xf numFmtId="3" fontId="11" fillId="0" borderId="72" xfId="0" applyNumberFormat="1" applyFont="1" applyBorder="1" applyAlignment="1">
      <alignment horizontal="center" vertical="center"/>
    </xf>
    <xf numFmtId="3" fontId="17" fillId="0" borderId="2" xfId="0" applyNumberFormat="1" applyFont="1" applyBorder="1" applyAlignment="1">
      <alignment horizontal="right" vertical="center" wrapText="1"/>
    </xf>
    <xf numFmtId="3" fontId="17" fillId="0" borderId="4" xfId="0" applyNumberFormat="1" applyFont="1" applyBorder="1" applyAlignment="1">
      <alignment horizontal="right" vertical="center" wrapText="1"/>
    </xf>
    <xf numFmtId="3" fontId="18" fillId="0" borderId="62" xfId="0" applyNumberFormat="1" applyFont="1" applyBorder="1" applyAlignment="1">
      <alignment vertical="center" wrapText="1"/>
    </xf>
    <xf numFmtId="3" fontId="18" fillId="0" borderId="63" xfId="0" applyNumberFormat="1" applyFont="1" applyBorder="1" applyAlignment="1">
      <alignment vertical="center" wrapText="1"/>
    </xf>
    <xf numFmtId="3" fontId="17" fillId="0" borderId="9" xfId="0" applyNumberFormat="1" applyFont="1" applyBorder="1" applyAlignment="1">
      <alignment vertical="center" wrapText="1"/>
    </xf>
    <xf numFmtId="3" fontId="17" fillId="0" borderId="62" xfId="0" applyNumberFormat="1" applyFont="1" applyBorder="1" applyAlignment="1">
      <alignment horizontal="right" vertical="center" wrapText="1"/>
    </xf>
    <xf numFmtId="3" fontId="17" fillId="0" borderId="53" xfId="0" applyNumberFormat="1" applyFont="1" applyBorder="1" applyAlignment="1">
      <alignment horizontal="right" vertical="center" wrapText="1"/>
    </xf>
    <xf numFmtId="3" fontId="17" fillId="0" borderId="8" xfId="0" applyNumberFormat="1" applyFont="1" applyBorder="1" applyAlignment="1">
      <alignment horizontal="right" vertical="center" wrapText="1"/>
    </xf>
    <xf numFmtId="49" fontId="17" fillId="0" borderId="4" xfId="0" applyNumberFormat="1" applyFont="1" applyBorder="1" applyAlignment="1">
      <alignment horizontal="center" vertical="center" wrapText="1"/>
    </xf>
    <xf numFmtId="4" fontId="17" fillId="0" borderId="4" xfId="0" applyNumberFormat="1" applyFont="1" applyBorder="1" applyAlignment="1">
      <alignment horizontal="center" vertical="center" wrapText="1"/>
    </xf>
    <xf numFmtId="3" fontId="11" fillId="0" borderId="24" xfId="0" applyNumberFormat="1" applyFont="1" applyBorder="1" applyAlignment="1">
      <alignment vertical="center" wrapText="1"/>
    </xf>
    <xf numFmtId="3" fontId="11" fillId="0" borderId="60" xfId="0" applyNumberFormat="1" applyFont="1" applyBorder="1" applyAlignment="1">
      <alignment vertical="center" wrapText="1"/>
    </xf>
    <xf numFmtId="3" fontId="11" fillId="0" borderId="45" xfId="0" applyNumberFormat="1" applyFont="1" applyBorder="1" applyAlignment="1">
      <alignment vertical="center" wrapText="1"/>
    </xf>
    <xf numFmtId="3" fontId="11" fillId="0" borderId="12" xfId="0" applyNumberFormat="1" applyFont="1" applyBorder="1" applyAlignment="1">
      <alignment horizontal="right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3" xfId="1" applyBorder="1" applyAlignment="1">
      <alignment horizontal="center" vertical="center" wrapText="1"/>
    </xf>
    <xf numFmtId="3" fontId="17" fillId="0" borderId="14" xfId="0" applyNumberFormat="1" applyFont="1" applyBorder="1" applyAlignment="1">
      <alignment vertical="center"/>
    </xf>
    <xf numFmtId="3" fontId="17" fillId="0" borderId="30" xfId="0" applyNumberFormat="1" applyFont="1" applyBorder="1" applyAlignment="1">
      <alignment vertical="center"/>
    </xf>
    <xf numFmtId="3" fontId="17" fillId="0" borderId="68" xfId="0" applyNumberFormat="1" applyFont="1" applyBorder="1" applyAlignment="1">
      <alignment vertical="center"/>
    </xf>
    <xf numFmtId="3" fontId="17" fillId="0" borderId="69" xfId="0" applyNumberFormat="1" applyFont="1" applyBorder="1" applyAlignment="1">
      <alignment vertical="center"/>
    </xf>
    <xf numFmtId="0" fontId="17" fillId="0" borderId="14" xfId="0" applyFont="1" applyBorder="1" applyAlignment="1">
      <alignment horizontal="center" vertical="center"/>
    </xf>
    <xf numFmtId="49" fontId="17" fillId="0" borderId="1" xfId="0" applyNumberFormat="1" applyFont="1" applyBorder="1" applyAlignment="1">
      <alignment horizontal="center" vertical="center"/>
    </xf>
    <xf numFmtId="3" fontId="11" fillId="0" borderId="14" xfId="0" applyNumberFormat="1" applyFont="1" applyBorder="1" applyAlignment="1">
      <alignment vertical="center"/>
    </xf>
    <xf numFmtId="3" fontId="11" fillId="0" borderId="30" xfId="0" applyNumberFormat="1" applyFont="1" applyBorder="1" applyAlignment="1">
      <alignment vertical="center"/>
    </xf>
    <xf numFmtId="3" fontId="11" fillId="0" borderId="16" xfId="0" applyNumberFormat="1" applyFont="1" applyBorder="1" applyAlignment="1">
      <alignment vertical="center"/>
    </xf>
    <xf numFmtId="49" fontId="11" fillId="0" borderId="1" xfId="0" applyNumberFormat="1" applyFont="1" applyBorder="1" applyAlignment="1">
      <alignment horizontal="center" vertical="center"/>
    </xf>
    <xf numFmtId="0" fontId="11" fillId="0" borderId="14" xfId="1" applyBorder="1" applyAlignment="1">
      <alignment horizontal="center" vertical="center"/>
    </xf>
    <xf numFmtId="0" fontId="11" fillId="0" borderId="13" xfId="1" applyBorder="1" applyAlignment="1">
      <alignment horizontal="center" vertical="center"/>
    </xf>
    <xf numFmtId="3" fontId="18" fillId="0" borderId="16" xfId="0" applyNumberFormat="1" applyFont="1" applyBorder="1" applyAlignment="1">
      <alignment horizontal="right" vertical="center"/>
    </xf>
    <xf numFmtId="3" fontId="17" fillId="0" borderId="1" xfId="0" applyNumberFormat="1" applyFont="1" applyBorder="1" applyAlignment="1">
      <alignment vertical="center"/>
    </xf>
    <xf numFmtId="4" fontId="17" fillId="0" borderId="14" xfId="0" applyNumberFormat="1" applyFont="1" applyBorder="1" applyAlignment="1">
      <alignment horizontal="center" vertical="center" wrapText="1"/>
    </xf>
    <xf numFmtId="49" fontId="17" fillId="0" borderId="14" xfId="0" applyNumberFormat="1" applyFont="1" applyBorder="1" applyAlignment="1">
      <alignment horizontal="center" vertical="center" wrapText="1"/>
    </xf>
    <xf numFmtId="0" fontId="17" fillId="0" borderId="14" xfId="1" applyFont="1" applyBorder="1" applyAlignment="1">
      <alignment horizontal="center" vertical="center"/>
    </xf>
    <xf numFmtId="0" fontId="17" fillId="0" borderId="18" xfId="1" applyFont="1" applyBorder="1" applyAlignment="1">
      <alignment horizontal="center" vertical="center"/>
    </xf>
    <xf numFmtId="3" fontId="18" fillId="0" borderId="45" xfId="0" applyNumberFormat="1" applyFont="1" applyBorder="1" applyAlignment="1">
      <alignment horizontal="right" vertical="center"/>
    </xf>
    <xf numFmtId="3" fontId="17" fillId="0" borderId="13" xfId="0" applyNumberFormat="1" applyFont="1" applyBorder="1" applyAlignment="1">
      <alignment vertical="center"/>
    </xf>
    <xf numFmtId="3" fontId="17" fillId="0" borderId="15" xfId="0" applyNumberFormat="1" applyFont="1" applyBorder="1" applyAlignment="1">
      <alignment vertical="center"/>
    </xf>
    <xf numFmtId="3" fontId="17" fillId="0" borderId="60" xfId="0" applyNumberFormat="1" applyFont="1" applyBorder="1" applyAlignment="1">
      <alignment vertical="center"/>
    </xf>
    <xf numFmtId="3" fontId="17" fillId="0" borderId="48" xfId="0" applyNumberFormat="1" applyFont="1" applyBorder="1" applyAlignment="1">
      <alignment vertical="center"/>
    </xf>
    <xf numFmtId="3" fontId="17" fillId="0" borderId="19" xfId="0" applyNumberFormat="1" applyFont="1" applyBorder="1" applyAlignment="1">
      <alignment vertical="center"/>
    </xf>
    <xf numFmtId="3" fontId="17" fillId="0" borderId="19" xfId="0" applyNumberFormat="1" applyFont="1" applyBorder="1" applyAlignment="1">
      <alignment horizontal="right" vertical="center"/>
    </xf>
    <xf numFmtId="4" fontId="17" fillId="0" borderId="13" xfId="0" applyNumberFormat="1" applyFont="1" applyBorder="1" applyAlignment="1">
      <alignment horizontal="center" vertical="center"/>
    </xf>
    <xf numFmtId="4" fontId="17" fillId="0" borderId="15" xfId="0" applyNumberFormat="1" applyFont="1" applyBorder="1" applyAlignment="1">
      <alignment horizontal="center" vertical="center"/>
    </xf>
    <xf numFmtId="4" fontId="17" fillId="0" borderId="13" xfId="1" applyNumberFormat="1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49" fontId="17" fillId="0" borderId="19" xfId="0" applyNumberFormat="1" applyFont="1" applyBorder="1" applyAlignment="1">
      <alignment horizontal="center" vertical="center"/>
    </xf>
    <xf numFmtId="49" fontId="17" fillId="0" borderId="15" xfId="0" applyNumberFormat="1" applyFont="1" applyBorder="1" applyAlignment="1">
      <alignment horizontal="center" vertical="center"/>
    </xf>
    <xf numFmtId="0" fontId="17" fillId="0" borderId="13" xfId="1" applyFont="1" applyBorder="1" applyAlignment="1">
      <alignment horizontal="center" vertical="center"/>
    </xf>
    <xf numFmtId="3" fontId="18" fillId="0" borderId="29" xfId="0" applyNumberFormat="1" applyFont="1" applyBorder="1" applyAlignment="1">
      <alignment horizontal="right" vertical="center"/>
    </xf>
    <xf numFmtId="3" fontId="17" fillId="0" borderId="22" xfId="0" applyNumberFormat="1" applyFont="1" applyBorder="1" applyAlignment="1">
      <alignment vertical="center"/>
    </xf>
    <xf numFmtId="3" fontId="17" fillId="0" borderId="28" xfId="0" applyNumberFormat="1" applyFont="1" applyBorder="1" applyAlignment="1">
      <alignment vertical="center"/>
    </xf>
    <xf numFmtId="3" fontId="17" fillId="0" borderId="64" xfId="0" applyNumberFormat="1" applyFont="1" applyBorder="1" applyAlignment="1">
      <alignment vertical="center"/>
    </xf>
    <xf numFmtId="3" fontId="17" fillId="0" borderId="65" xfId="0" applyNumberFormat="1" applyFont="1" applyBorder="1" applyAlignment="1">
      <alignment vertical="center"/>
    </xf>
    <xf numFmtId="3" fontId="17" fillId="0" borderId="0" xfId="0" applyNumberFormat="1" applyFont="1" applyAlignment="1">
      <alignment vertical="center"/>
    </xf>
    <xf numFmtId="3" fontId="17" fillId="0" borderId="64" xfId="0" applyNumberFormat="1" applyFont="1" applyBorder="1" applyAlignment="1">
      <alignment horizontal="right" vertical="center"/>
    </xf>
    <xf numFmtId="3" fontId="17" fillId="0" borderId="71" xfId="0" applyNumberFormat="1" applyFont="1" applyBorder="1" applyAlignment="1">
      <alignment horizontal="right" vertical="center"/>
    </xf>
    <xf numFmtId="3" fontId="17" fillId="0" borderId="0" xfId="0" applyNumberFormat="1" applyFont="1" applyAlignment="1">
      <alignment horizontal="right" vertical="center"/>
    </xf>
    <xf numFmtId="0" fontId="17" fillId="0" borderId="22" xfId="0" applyFont="1" applyBorder="1" applyAlignment="1">
      <alignment horizontal="center" vertical="center"/>
    </xf>
    <xf numFmtId="49" fontId="17" fillId="0" borderId="0" xfId="0" applyNumberFormat="1" applyFont="1" applyAlignment="1">
      <alignment horizontal="center" vertical="center"/>
    </xf>
    <xf numFmtId="49" fontId="17" fillId="0" borderId="28" xfId="0" applyNumberFormat="1" applyFont="1" applyBorder="1" applyAlignment="1">
      <alignment horizontal="center" vertical="center"/>
    </xf>
    <xf numFmtId="49" fontId="17" fillId="0" borderId="22" xfId="0" applyNumberFormat="1" applyFont="1" applyBorder="1" applyAlignment="1">
      <alignment horizontal="center" vertical="center" wrapText="1"/>
    </xf>
    <xf numFmtId="3" fontId="36" fillId="0" borderId="35" xfId="0" applyNumberFormat="1" applyFont="1" applyBorder="1" applyAlignment="1">
      <alignment horizontal="right" vertical="center"/>
    </xf>
    <xf numFmtId="3" fontId="19" fillId="0" borderId="33" xfId="0" applyNumberFormat="1" applyFont="1" applyBorder="1" applyAlignment="1">
      <alignment vertical="center"/>
    </xf>
    <xf numFmtId="3" fontId="19" fillId="0" borderId="34" xfId="0" applyNumberFormat="1" applyFont="1" applyBorder="1" applyAlignment="1">
      <alignment vertical="center"/>
    </xf>
    <xf numFmtId="3" fontId="19" fillId="0" borderId="49" xfId="0" applyNumberFormat="1" applyFont="1" applyBorder="1" applyAlignment="1">
      <alignment vertical="center"/>
    </xf>
    <xf numFmtId="3" fontId="19" fillId="0" borderId="43" xfId="0" applyNumberFormat="1" applyFont="1" applyBorder="1" applyAlignment="1">
      <alignment vertical="center"/>
    </xf>
    <xf numFmtId="3" fontId="19" fillId="0" borderId="40" xfId="0" applyNumberFormat="1" applyFont="1" applyBorder="1" applyAlignment="1">
      <alignment vertical="center"/>
    </xf>
    <xf numFmtId="3" fontId="19" fillId="0" borderId="49" xfId="0" applyNumberFormat="1" applyFont="1" applyBorder="1" applyAlignment="1">
      <alignment horizontal="right" vertical="center"/>
    </xf>
    <xf numFmtId="3" fontId="19" fillId="0" borderId="70" xfId="0" applyNumberFormat="1" applyFont="1" applyBorder="1" applyAlignment="1">
      <alignment horizontal="right" vertical="center"/>
    </xf>
    <xf numFmtId="3" fontId="19" fillId="0" borderId="40" xfId="0" applyNumberFormat="1" applyFont="1" applyBorder="1" applyAlignment="1">
      <alignment horizontal="right" vertical="center"/>
    </xf>
    <xf numFmtId="0" fontId="19" fillId="0" borderId="33" xfId="0" applyFont="1" applyBorder="1" applyAlignment="1">
      <alignment horizontal="center" vertical="center"/>
    </xf>
    <xf numFmtId="49" fontId="19" fillId="0" borderId="40" xfId="0" applyNumberFormat="1" applyFont="1" applyBorder="1" applyAlignment="1">
      <alignment horizontal="center" vertical="center"/>
    </xf>
    <xf numFmtId="49" fontId="19" fillId="0" borderId="34" xfId="0" applyNumberFormat="1" applyFont="1" applyBorder="1" applyAlignment="1">
      <alignment horizontal="center" vertical="center"/>
    </xf>
    <xf numFmtId="49" fontId="19" fillId="0" borderId="33" xfId="0" applyNumberFormat="1" applyFont="1" applyBorder="1" applyAlignment="1">
      <alignment horizontal="center" vertical="center" wrapText="1"/>
    </xf>
    <xf numFmtId="3" fontId="11" fillId="0" borderId="26" xfId="0" applyNumberFormat="1" applyFont="1" applyBorder="1" applyAlignment="1">
      <alignment vertical="center"/>
    </xf>
    <xf numFmtId="3" fontId="11" fillId="0" borderId="31" xfId="0" applyNumberFormat="1" applyFont="1" applyBorder="1" applyAlignment="1">
      <alignment vertical="center"/>
    </xf>
    <xf numFmtId="0" fontId="11" fillId="0" borderId="26" xfId="0" applyFont="1" applyBorder="1" applyAlignment="1">
      <alignment horizontal="center" vertical="center"/>
    </xf>
    <xf numFmtId="49" fontId="11" fillId="0" borderId="37" xfId="0" applyNumberFormat="1" applyFont="1" applyBorder="1" applyAlignment="1">
      <alignment horizontal="center" vertical="center"/>
    </xf>
    <xf numFmtId="49" fontId="11" fillId="0" borderId="31" xfId="0" applyNumberFormat="1" applyFont="1" applyBorder="1" applyAlignment="1">
      <alignment horizontal="center" vertical="center"/>
    </xf>
    <xf numFmtId="3" fontId="36" fillId="0" borderId="45" xfId="0" applyNumberFormat="1" applyFont="1" applyBorder="1" applyAlignment="1">
      <alignment horizontal="right" vertical="center"/>
    </xf>
    <xf numFmtId="3" fontId="19" fillId="0" borderId="13" xfId="0" applyNumberFormat="1" applyFont="1" applyBorder="1" applyAlignment="1">
      <alignment vertical="center"/>
    </xf>
    <xf numFmtId="3" fontId="19" fillId="0" borderId="15" xfId="0" applyNumberFormat="1" applyFont="1" applyBorder="1" applyAlignment="1">
      <alignment vertical="center"/>
    </xf>
    <xf numFmtId="3" fontId="19" fillId="0" borderId="60" xfId="0" applyNumberFormat="1" applyFont="1" applyBorder="1" applyAlignment="1">
      <alignment vertical="center"/>
    </xf>
    <xf numFmtId="3" fontId="19" fillId="0" borderId="48" xfId="0" applyNumberFormat="1" applyFont="1" applyBorder="1" applyAlignment="1">
      <alignment vertical="center"/>
    </xf>
    <xf numFmtId="3" fontId="19" fillId="0" borderId="19" xfId="0" applyNumberFormat="1" applyFont="1" applyBorder="1" applyAlignment="1">
      <alignment vertical="center"/>
    </xf>
    <xf numFmtId="3" fontId="19" fillId="0" borderId="60" xfId="0" applyNumberFormat="1" applyFont="1" applyBorder="1" applyAlignment="1">
      <alignment horizontal="right" vertical="center"/>
    </xf>
    <xf numFmtId="3" fontId="19" fillId="0" borderId="54" xfId="0" applyNumberFormat="1" applyFont="1" applyBorder="1" applyAlignment="1">
      <alignment horizontal="right" vertical="center"/>
    </xf>
    <xf numFmtId="3" fontId="19" fillId="0" borderId="19" xfId="0" applyNumberFormat="1" applyFont="1" applyBorder="1" applyAlignment="1">
      <alignment horizontal="right" vertical="center"/>
    </xf>
    <xf numFmtId="0" fontId="19" fillId="0" borderId="13" xfId="0" applyFont="1" applyBorder="1" applyAlignment="1">
      <alignment horizontal="center" vertical="center"/>
    </xf>
    <xf numFmtId="49" fontId="19" fillId="0" borderId="19" xfId="0" applyNumberFormat="1" applyFont="1" applyBorder="1" applyAlignment="1">
      <alignment horizontal="center" vertical="center"/>
    </xf>
    <xf numFmtId="49" fontId="19" fillId="0" borderId="15" xfId="0" applyNumberFormat="1" applyFont="1" applyBorder="1" applyAlignment="1">
      <alignment horizontal="center" vertical="center"/>
    </xf>
    <xf numFmtId="3" fontId="18" fillId="0" borderId="35" xfId="0" applyNumberFormat="1" applyFont="1" applyBorder="1" applyAlignment="1">
      <alignment horizontal="right" vertical="center"/>
    </xf>
    <xf numFmtId="3" fontId="17" fillId="0" borderId="33" xfId="0" applyNumberFormat="1" applyFont="1" applyBorder="1" applyAlignment="1">
      <alignment vertical="center"/>
    </xf>
    <xf numFmtId="3" fontId="17" fillId="0" borderId="34" xfId="0" applyNumberFormat="1" applyFont="1" applyBorder="1" applyAlignment="1">
      <alignment vertical="center"/>
    </xf>
    <xf numFmtId="3" fontId="17" fillId="0" borderId="49" xfId="0" applyNumberFormat="1" applyFont="1" applyBorder="1" applyAlignment="1">
      <alignment vertical="center"/>
    </xf>
    <xf numFmtId="3" fontId="17" fillId="0" borderId="43" xfId="0" applyNumberFormat="1" applyFont="1" applyBorder="1" applyAlignment="1">
      <alignment vertical="center"/>
    </xf>
    <xf numFmtId="3" fontId="17" fillId="0" borderId="40" xfId="0" applyNumberFormat="1" applyFont="1" applyBorder="1" applyAlignment="1">
      <alignment vertical="center"/>
    </xf>
    <xf numFmtId="3" fontId="17" fillId="0" borderId="49" xfId="0" applyNumberFormat="1" applyFont="1" applyBorder="1" applyAlignment="1">
      <alignment horizontal="right" vertical="center"/>
    </xf>
    <xf numFmtId="3" fontId="17" fillId="0" borderId="70" xfId="0" applyNumberFormat="1" applyFont="1" applyBorder="1" applyAlignment="1">
      <alignment horizontal="right" vertical="center"/>
    </xf>
    <xf numFmtId="0" fontId="17" fillId="0" borderId="33" xfId="0" applyFont="1" applyBorder="1" applyAlignment="1">
      <alignment horizontal="center" vertical="center"/>
    </xf>
    <xf numFmtId="49" fontId="17" fillId="0" borderId="40" xfId="0" applyNumberFormat="1" applyFont="1" applyBorder="1" applyAlignment="1">
      <alignment horizontal="center" vertical="center"/>
    </xf>
    <xf numFmtId="49" fontId="17" fillId="0" borderId="34" xfId="0" applyNumberFormat="1" applyFont="1" applyBorder="1" applyAlignment="1">
      <alignment horizontal="center" vertical="center"/>
    </xf>
    <xf numFmtId="49" fontId="17" fillId="0" borderId="33" xfId="0" applyNumberFormat="1" applyFont="1" applyBorder="1" applyAlignment="1">
      <alignment horizontal="center" vertical="center" wrapText="1"/>
    </xf>
    <xf numFmtId="3" fontId="16" fillId="0" borderId="35" xfId="0" applyNumberFormat="1" applyFont="1" applyBorder="1" applyAlignment="1">
      <alignment horizontal="right" vertical="center"/>
    </xf>
    <xf numFmtId="3" fontId="15" fillId="0" borderId="33" xfId="0" applyNumberFormat="1" applyFont="1" applyBorder="1" applyAlignment="1">
      <alignment vertical="center"/>
    </xf>
    <xf numFmtId="3" fontId="15" fillId="0" borderId="34" xfId="0" applyNumberFormat="1" applyFont="1" applyBorder="1" applyAlignment="1">
      <alignment vertical="center"/>
    </xf>
    <xf numFmtId="3" fontId="15" fillId="0" borderId="49" xfId="0" applyNumberFormat="1" applyFont="1" applyBorder="1" applyAlignment="1">
      <alignment vertical="center"/>
    </xf>
    <xf numFmtId="3" fontId="15" fillId="0" borderId="43" xfId="0" applyNumberFormat="1" applyFont="1" applyBorder="1" applyAlignment="1">
      <alignment vertical="center"/>
    </xf>
    <xf numFmtId="3" fontId="15" fillId="0" borderId="40" xfId="0" applyNumberFormat="1" applyFont="1" applyBorder="1" applyAlignment="1">
      <alignment vertical="center"/>
    </xf>
    <xf numFmtId="3" fontId="15" fillId="0" borderId="49" xfId="0" applyNumberFormat="1" applyFont="1" applyBorder="1" applyAlignment="1">
      <alignment horizontal="right" vertical="center"/>
    </xf>
    <xf numFmtId="3" fontId="15" fillId="0" borderId="70" xfId="0" applyNumberFormat="1" applyFont="1" applyBorder="1" applyAlignment="1">
      <alignment horizontal="right" vertical="center"/>
    </xf>
    <xf numFmtId="3" fontId="15" fillId="0" borderId="37" xfId="0" applyNumberFormat="1" applyFont="1" applyBorder="1" applyAlignment="1">
      <alignment horizontal="right" vertical="center"/>
    </xf>
    <xf numFmtId="0" fontId="15" fillId="0" borderId="33" xfId="0" applyFont="1" applyBorder="1" applyAlignment="1">
      <alignment horizontal="center" vertical="center"/>
    </xf>
    <xf numFmtId="49" fontId="15" fillId="0" borderId="40" xfId="0" applyNumberFormat="1" applyFont="1" applyBorder="1" applyAlignment="1">
      <alignment horizontal="center" vertical="center"/>
    </xf>
    <xf numFmtId="49" fontId="15" fillId="0" borderId="34" xfId="0" applyNumberFormat="1" applyFont="1" applyBorder="1" applyAlignment="1">
      <alignment horizontal="center" vertical="center"/>
    </xf>
    <xf numFmtId="49" fontId="15" fillId="0" borderId="33" xfId="0" applyNumberFormat="1" applyFont="1" applyBorder="1" applyAlignment="1">
      <alignment horizontal="center" vertical="center" wrapText="1"/>
    </xf>
    <xf numFmtId="3" fontId="19" fillId="0" borderId="45" xfId="0" applyNumberFormat="1" applyFont="1" applyBorder="1" applyAlignment="1">
      <alignment horizontal="right" vertical="center"/>
    </xf>
    <xf numFmtId="3" fontId="13" fillId="0" borderId="35" xfId="0" applyNumberFormat="1" applyFont="1" applyBorder="1" applyAlignment="1">
      <alignment horizontal="right" vertical="center"/>
    </xf>
    <xf numFmtId="3" fontId="11" fillId="0" borderId="33" xfId="0" applyNumberFormat="1" applyFont="1" applyBorder="1" applyAlignment="1">
      <alignment vertical="center"/>
    </xf>
    <xf numFmtId="3" fontId="11" fillId="0" borderId="34" xfId="0" applyNumberFormat="1" applyFont="1" applyBorder="1" applyAlignment="1">
      <alignment vertical="center"/>
    </xf>
    <xf numFmtId="3" fontId="11" fillId="0" borderId="49" xfId="0" applyNumberFormat="1" applyFont="1" applyBorder="1" applyAlignment="1">
      <alignment vertical="center"/>
    </xf>
    <xf numFmtId="3" fontId="11" fillId="0" borderId="43" xfId="0" applyNumberFormat="1" applyFont="1" applyBorder="1" applyAlignment="1">
      <alignment vertical="center"/>
    </xf>
    <xf numFmtId="3" fontId="11" fillId="0" borderId="40" xfId="0" applyNumberFormat="1" applyFont="1" applyBorder="1" applyAlignment="1">
      <alignment vertical="center"/>
    </xf>
    <xf numFmtId="3" fontId="11" fillId="0" borderId="40" xfId="0" applyNumberFormat="1" applyFont="1" applyBorder="1" applyAlignment="1">
      <alignment horizontal="right" vertical="center"/>
    </xf>
    <xf numFmtId="0" fontId="11" fillId="0" borderId="33" xfId="0" applyFont="1" applyBorder="1" applyAlignment="1">
      <alignment horizontal="center" vertical="center"/>
    </xf>
    <xf numFmtId="49" fontId="11" fillId="0" borderId="40" xfId="0" applyNumberFormat="1" applyFont="1" applyBorder="1" applyAlignment="1">
      <alignment horizontal="center" vertical="center"/>
    </xf>
    <xf numFmtId="49" fontId="11" fillId="0" borderId="34" xfId="0" applyNumberFormat="1" applyFont="1" applyBorder="1" applyAlignment="1">
      <alignment horizontal="center" vertical="center"/>
    </xf>
    <xf numFmtId="3" fontId="17" fillId="0" borderId="40" xfId="0" applyNumberFormat="1" applyFont="1" applyBorder="1" applyAlignment="1">
      <alignment horizontal="right" vertical="center"/>
    </xf>
    <xf numFmtId="3" fontId="13" fillId="0" borderId="45" xfId="0" applyNumberFormat="1" applyFont="1" applyBorder="1" applyAlignment="1">
      <alignment horizontal="right" vertical="center"/>
    </xf>
    <xf numFmtId="3" fontId="11" fillId="0" borderId="13" xfId="0" applyNumberFormat="1" applyFont="1" applyBorder="1" applyAlignment="1">
      <alignment vertical="center"/>
    </xf>
    <xf numFmtId="3" fontId="11" fillId="0" borderId="15" xfId="0" applyNumberFormat="1" applyFont="1" applyBorder="1" applyAlignment="1">
      <alignment vertical="center"/>
    </xf>
    <xf numFmtId="3" fontId="11" fillId="0" borderId="60" xfId="0" applyNumberFormat="1" applyFont="1" applyBorder="1" applyAlignment="1">
      <alignment vertical="center"/>
    </xf>
    <xf numFmtId="3" fontId="11" fillId="0" borderId="48" xfId="0" applyNumberFormat="1" applyFont="1" applyBorder="1" applyAlignment="1">
      <alignment vertical="center"/>
    </xf>
    <xf numFmtId="3" fontId="11" fillId="0" borderId="19" xfId="0" applyNumberFormat="1" applyFont="1" applyBorder="1" applyAlignment="1">
      <alignment vertical="center"/>
    </xf>
    <xf numFmtId="49" fontId="11" fillId="0" borderId="19" xfId="0" applyNumberFormat="1" applyFont="1" applyBorder="1" applyAlignment="1">
      <alignment horizontal="center" vertical="center"/>
    </xf>
    <xf numFmtId="49" fontId="11" fillId="0" borderId="15" xfId="0" applyNumberFormat="1" applyFont="1" applyBorder="1" applyAlignment="1">
      <alignment horizontal="center" vertical="center"/>
    </xf>
    <xf numFmtId="3" fontId="36" fillId="0" borderId="29" xfId="0" applyNumberFormat="1" applyFont="1" applyBorder="1" applyAlignment="1">
      <alignment horizontal="right" vertical="center"/>
    </xf>
    <xf numFmtId="3" fontId="19" fillId="0" borderId="22" xfId="0" applyNumberFormat="1" applyFont="1" applyBorder="1" applyAlignment="1">
      <alignment vertical="center"/>
    </xf>
    <xf numFmtId="3" fontId="19" fillId="0" borderId="28" xfId="0" applyNumberFormat="1" applyFont="1" applyBorder="1" applyAlignment="1">
      <alignment vertical="center"/>
    </xf>
    <xf numFmtId="3" fontId="19" fillId="0" borderId="64" xfId="0" applyNumberFormat="1" applyFont="1" applyBorder="1" applyAlignment="1">
      <alignment vertical="center"/>
    </xf>
    <xf numFmtId="3" fontId="19" fillId="0" borderId="65" xfId="0" applyNumberFormat="1" applyFont="1" applyBorder="1" applyAlignment="1">
      <alignment vertical="center"/>
    </xf>
    <xf numFmtId="3" fontId="19" fillId="0" borderId="0" xfId="0" applyNumberFormat="1" applyFont="1" applyAlignment="1">
      <alignment vertical="center"/>
    </xf>
    <xf numFmtId="3" fontId="19" fillId="0" borderId="64" xfId="0" applyNumberFormat="1" applyFont="1" applyBorder="1" applyAlignment="1">
      <alignment horizontal="right" vertical="center"/>
    </xf>
    <xf numFmtId="3" fontId="19" fillId="0" borderId="71" xfId="0" applyNumberFormat="1" applyFont="1" applyBorder="1" applyAlignment="1">
      <alignment horizontal="right" vertical="center"/>
    </xf>
    <xf numFmtId="3" fontId="19" fillId="0" borderId="0" xfId="0" applyNumberFormat="1" applyFont="1" applyAlignment="1">
      <alignment horizontal="right" vertical="center"/>
    </xf>
    <xf numFmtId="0" fontId="19" fillId="0" borderId="22" xfId="0" applyFont="1" applyBorder="1" applyAlignment="1">
      <alignment horizontal="center" vertical="center" wrapText="1"/>
    </xf>
    <xf numFmtId="0" fontId="19" fillId="0" borderId="22" xfId="0" applyFont="1" applyBorder="1" applyAlignment="1">
      <alignment horizontal="center" vertical="center"/>
    </xf>
    <xf numFmtId="49" fontId="19" fillId="0" borderId="0" xfId="0" applyNumberFormat="1" applyFont="1" applyAlignment="1">
      <alignment horizontal="center" vertical="center"/>
    </xf>
    <xf numFmtId="49" fontId="19" fillId="0" borderId="28" xfId="0" applyNumberFormat="1" applyFont="1" applyBorder="1" applyAlignment="1">
      <alignment horizontal="center" vertical="center"/>
    </xf>
    <xf numFmtId="49" fontId="19" fillId="0" borderId="22" xfId="0" applyNumberFormat="1" applyFont="1" applyBorder="1" applyAlignment="1">
      <alignment horizontal="center" vertical="center" wrapText="1"/>
    </xf>
    <xf numFmtId="3" fontId="17" fillId="0" borderId="63" xfId="0" applyNumberFormat="1" applyFont="1" applyBorder="1" applyAlignment="1">
      <alignment horizontal="right" vertical="center"/>
    </xf>
    <xf numFmtId="3" fontId="17" fillId="0" borderId="53" xfId="0" applyNumberFormat="1" applyFont="1" applyBorder="1" applyAlignment="1">
      <alignment horizontal="right" vertical="center"/>
    </xf>
    <xf numFmtId="3" fontId="17" fillId="0" borderId="23" xfId="0" applyNumberFormat="1" applyFont="1" applyBorder="1" applyAlignment="1">
      <alignment vertical="center"/>
    </xf>
    <xf numFmtId="3" fontId="17" fillId="0" borderId="21" xfId="0" applyNumberFormat="1" applyFont="1" applyBorder="1" applyAlignment="1">
      <alignment horizontal="right" vertical="center"/>
    </xf>
    <xf numFmtId="3" fontId="19" fillId="0" borderId="26" xfId="0" applyNumberFormat="1" applyFont="1" applyBorder="1" applyAlignment="1">
      <alignment vertical="center"/>
    </xf>
    <xf numFmtId="3" fontId="18" fillId="0" borderId="32" xfId="0" applyNumberFormat="1" applyFont="1" applyBorder="1" applyAlignment="1">
      <alignment horizontal="right" vertical="center"/>
    </xf>
    <xf numFmtId="3" fontId="17" fillId="0" borderId="26" xfId="0" applyNumberFormat="1" applyFont="1" applyBorder="1" applyAlignment="1">
      <alignment vertical="center"/>
    </xf>
    <xf numFmtId="3" fontId="17" fillId="0" borderId="32" xfId="0" applyNumberFormat="1" applyFont="1" applyBorder="1" applyAlignment="1">
      <alignment vertical="center"/>
    </xf>
    <xf numFmtId="0" fontId="17" fillId="0" borderId="26" xfId="0" applyFont="1" applyBorder="1" applyAlignment="1">
      <alignment horizontal="center" vertical="center"/>
    </xf>
    <xf numFmtId="49" fontId="17" fillId="0" borderId="37" xfId="0" applyNumberFormat="1" applyFont="1" applyBorder="1" applyAlignment="1">
      <alignment horizontal="center" vertical="center"/>
    </xf>
    <xf numFmtId="49" fontId="17" fillId="0" borderId="31" xfId="0" applyNumberFormat="1" applyFont="1" applyBorder="1" applyAlignment="1">
      <alignment horizontal="center" vertical="center"/>
    </xf>
    <xf numFmtId="3" fontId="17" fillId="0" borderId="37" xfId="0" applyNumberFormat="1" applyFont="1" applyBorder="1" applyAlignment="1">
      <alignment vertical="center"/>
    </xf>
    <xf numFmtId="3" fontId="17" fillId="0" borderId="47" xfId="0" applyNumberFormat="1" applyFont="1" applyBorder="1" applyAlignment="1">
      <alignment vertical="center"/>
    </xf>
    <xf numFmtId="3" fontId="17" fillId="0" borderId="20" xfId="0" applyNumberFormat="1" applyFont="1" applyBorder="1" applyAlignment="1">
      <alignment vertical="center"/>
    </xf>
    <xf numFmtId="3" fontId="16" fillId="0" borderId="29" xfId="0" applyNumberFormat="1" applyFont="1" applyBorder="1" applyAlignment="1">
      <alignment horizontal="right" vertical="center"/>
    </xf>
    <xf numFmtId="3" fontId="15" fillId="0" borderId="23" xfId="0" applyNumberFormat="1" applyFont="1" applyBorder="1" applyAlignment="1">
      <alignment vertical="center"/>
    </xf>
    <xf numFmtId="3" fontId="15" fillId="0" borderId="0" xfId="0" applyNumberFormat="1" applyFont="1" applyAlignment="1">
      <alignment vertical="center"/>
    </xf>
    <xf numFmtId="3" fontId="15" fillId="0" borderId="64" xfId="0" applyNumberFormat="1" applyFont="1" applyBorder="1" applyAlignment="1">
      <alignment vertical="center"/>
    </xf>
    <xf numFmtId="3" fontId="15" fillId="0" borderId="65" xfId="0" applyNumberFormat="1" applyFont="1" applyBorder="1" applyAlignment="1">
      <alignment vertical="center"/>
    </xf>
    <xf numFmtId="3" fontId="15" fillId="0" borderId="64" xfId="0" applyNumberFormat="1" applyFont="1" applyBorder="1" applyAlignment="1">
      <alignment horizontal="right" vertical="center"/>
    </xf>
    <xf numFmtId="3" fontId="15" fillId="0" borderId="71" xfId="0" applyNumberFormat="1" applyFont="1" applyBorder="1" applyAlignment="1">
      <alignment horizontal="right" vertical="center"/>
    </xf>
    <xf numFmtId="3" fontId="15" fillId="0" borderId="0" xfId="0" applyNumberFormat="1" applyFont="1" applyAlignment="1">
      <alignment horizontal="right" vertical="center"/>
    </xf>
    <xf numFmtId="0" fontId="15" fillId="0" borderId="22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/>
    </xf>
    <xf numFmtId="49" fontId="15" fillId="0" borderId="0" xfId="0" applyNumberFormat="1" applyFont="1" applyAlignment="1">
      <alignment horizontal="center" vertical="center"/>
    </xf>
    <xf numFmtId="49" fontId="15" fillId="0" borderId="28" xfId="0" applyNumberFormat="1" applyFont="1" applyBorder="1" applyAlignment="1">
      <alignment horizontal="center" vertical="center"/>
    </xf>
    <xf numFmtId="49" fontId="15" fillId="0" borderId="22" xfId="0" applyNumberFormat="1" applyFont="1" applyBorder="1" applyAlignment="1">
      <alignment horizontal="center" vertical="center" wrapText="1"/>
    </xf>
    <xf numFmtId="3" fontId="36" fillId="0" borderId="32" xfId="0" applyNumberFormat="1" applyFont="1" applyBorder="1" applyAlignment="1">
      <alignment horizontal="right" vertical="center"/>
    </xf>
    <xf numFmtId="3" fontId="19" fillId="0" borderId="37" xfId="0" applyNumberFormat="1" applyFont="1" applyBorder="1" applyAlignment="1">
      <alignment vertical="center"/>
    </xf>
    <xf numFmtId="3" fontId="19" fillId="0" borderId="47" xfId="0" applyNumberFormat="1" applyFont="1" applyBorder="1" applyAlignment="1">
      <alignment vertical="center"/>
    </xf>
    <xf numFmtId="3" fontId="19" fillId="0" borderId="20" xfId="0" applyNumberFormat="1" applyFont="1" applyBorder="1" applyAlignment="1">
      <alignment vertical="center"/>
    </xf>
    <xf numFmtId="0" fontId="19" fillId="0" borderId="26" xfId="0" applyFont="1" applyBorder="1" applyAlignment="1">
      <alignment horizontal="center" vertical="center"/>
    </xf>
    <xf numFmtId="49" fontId="19" fillId="0" borderId="37" xfId="0" applyNumberFormat="1" applyFont="1" applyBorder="1" applyAlignment="1">
      <alignment horizontal="center" vertical="center"/>
    </xf>
    <xf numFmtId="49" fontId="19" fillId="0" borderId="31" xfId="0" applyNumberFormat="1" applyFont="1" applyBorder="1" applyAlignment="1">
      <alignment horizontal="center" vertical="center"/>
    </xf>
    <xf numFmtId="3" fontId="36" fillId="0" borderId="24" xfId="0" applyNumberFormat="1" applyFont="1" applyBorder="1" applyAlignment="1">
      <alignment horizontal="right" vertical="center"/>
    </xf>
    <xf numFmtId="3" fontId="19" fillId="0" borderId="23" xfId="0" applyNumberFormat="1" applyFont="1" applyBorder="1" applyAlignment="1">
      <alignment vertical="center"/>
    </xf>
    <xf numFmtId="3" fontId="19" fillId="0" borderId="27" xfId="0" applyNumberFormat="1" applyFont="1" applyBorder="1" applyAlignment="1">
      <alignment vertical="center"/>
    </xf>
    <xf numFmtId="3" fontId="19" fillId="0" borderId="58" xfId="0" applyNumberFormat="1" applyFont="1" applyBorder="1" applyAlignment="1">
      <alignment vertical="center"/>
    </xf>
    <xf numFmtId="3" fontId="19" fillId="0" borderId="21" xfId="0" applyNumberFormat="1" applyFont="1" applyBorder="1" applyAlignment="1">
      <alignment vertical="center"/>
    </xf>
    <xf numFmtId="0" fontId="19" fillId="0" borderId="23" xfId="0" applyFont="1" applyBorder="1" applyAlignment="1">
      <alignment horizontal="center" vertical="center"/>
    </xf>
    <xf numFmtId="49" fontId="19" fillId="0" borderId="27" xfId="0" applyNumberFormat="1" applyFont="1" applyBorder="1" applyAlignment="1">
      <alignment horizontal="center" vertical="center"/>
    </xf>
    <xf numFmtId="49" fontId="19" fillId="0" borderId="25" xfId="0" applyNumberFormat="1" applyFont="1" applyBorder="1" applyAlignment="1">
      <alignment horizontal="center" vertical="center"/>
    </xf>
    <xf numFmtId="3" fontId="18" fillId="0" borderId="24" xfId="0" applyNumberFormat="1" applyFont="1" applyBorder="1" applyAlignment="1">
      <alignment horizontal="right" vertical="center"/>
    </xf>
    <xf numFmtId="3" fontId="13" fillId="0" borderId="24" xfId="0" applyNumberFormat="1" applyFont="1" applyBorder="1" applyAlignment="1">
      <alignment horizontal="right" vertical="center"/>
    </xf>
    <xf numFmtId="3" fontId="11" fillId="0" borderId="23" xfId="0" applyNumberFormat="1" applyFont="1" applyBorder="1" applyAlignment="1">
      <alignment vertical="center"/>
    </xf>
    <xf numFmtId="3" fontId="11" fillId="0" borderId="27" xfId="0" applyNumberFormat="1" applyFont="1" applyBorder="1" applyAlignment="1">
      <alignment vertical="center"/>
    </xf>
    <xf numFmtId="3" fontId="11" fillId="0" borderId="58" xfId="0" applyNumberFormat="1" applyFont="1" applyBorder="1" applyAlignment="1">
      <alignment vertical="center"/>
    </xf>
    <xf numFmtId="3" fontId="11" fillId="0" borderId="21" xfId="0" applyNumberFormat="1" applyFont="1" applyBorder="1" applyAlignment="1">
      <alignment vertical="center"/>
    </xf>
    <xf numFmtId="0" fontId="11" fillId="0" borderId="22" xfId="0" applyFont="1" applyBorder="1" applyAlignment="1">
      <alignment horizontal="center" vertical="center"/>
    </xf>
    <xf numFmtId="49" fontId="11" fillId="0" borderId="28" xfId="0" applyNumberFormat="1" applyFont="1" applyBorder="1" applyAlignment="1">
      <alignment horizontal="center" vertical="center"/>
    </xf>
    <xf numFmtId="49" fontId="11" fillId="0" borderId="22" xfId="0" applyNumberFormat="1" applyFont="1" applyBorder="1" applyAlignment="1">
      <alignment horizontal="center" vertical="center" wrapText="1"/>
    </xf>
    <xf numFmtId="3" fontId="13" fillId="0" borderId="29" xfId="0" applyNumberFormat="1" applyFont="1" applyBorder="1" applyAlignment="1">
      <alignment horizontal="right" vertical="center"/>
    </xf>
    <xf numFmtId="3" fontId="11" fillId="0" borderId="22" xfId="0" applyNumberFormat="1" applyFont="1" applyBorder="1" applyAlignment="1">
      <alignment vertical="center"/>
    </xf>
    <xf numFmtId="3" fontId="11" fillId="0" borderId="64" xfId="0" applyNumberFormat="1" applyFont="1" applyBorder="1" applyAlignment="1">
      <alignment vertical="center"/>
    </xf>
    <xf numFmtId="3" fontId="11" fillId="0" borderId="65" xfId="0" applyNumberFormat="1" applyFont="1" applyBorder="1" applyAlignment="1">
      <alignment vertical="center"/>
    </xf>
    <xf numFmtId="3" fontId="13" fillId="0" borderId="6" xfId="0" applyNumberFormat="1" applyFont="1" applyBorder="1" applyAlignment="1">
      <alignment horizontal="right" vertical="center"/>
    </xf>
    <xf numFmtId="3" fontId="11" fillId="0" borderId="18" xfId="0" applyNumberFormat="1" applyFont="1" applyBorder="1" applyAlignment="1">
      <alignment vertical="center"/>
    </xf>
    <xf numFmtId="3" fontId="11" fillId="0" borderId="55" xfId="0" applyNumberFormat="1" applyFont="1" applyBorder="1" applyAlignment="1">
      <alignment vertical="center"/>
    </xf>
    <xf numFmtId="3" fontId="11" fillId="0" borderId="56" xfId="0" applyNumberFormat="1" applyFont="1" applyBorder="1" applyAlignment="1">
      <alignment vertical="center"/>
    </xf>
    <xf numFmtId="0" fontId="11" fillId="0" borderId="18" xfId="0" applyFont="1" applyBorder="1" applyAlignment="1">
      <alignment horizontal="center" vertical="center"/>
    </xf>
    <xf numFmtId="49" fontId="11" fillId="0" borderId="5" xfId="0" applyNumberFormat="1" applyFont="1" applyBorder="1" applyAlignment="1">
      <alignment horizontal="center" vertical="center"/>
    </xf>
    <xf numFmtId="49" fontId="11" fillId="0" borderId="12" xfId="0" applyNumberFormat="1" applyFont="1" applyBorder="1" applyAlignment="1">
      <alignment horizontal="center" vertical="center"/>
    </xf>
    <xf numFmtId="4" fontId="11" fillId="0" borderId="13" xfId="0" applyNumberFormat="1" applyFont="1" applyBorder="1" applyAlignment="1">
      <alignment horizontal="center" vertical="center" wrapText="1"/>
    </xf>
    <xf numFmtId="3" fontId="11" fillId="0" borderId="15" xfId="0" applyNumberFormat="1" applyFont="1" applyBorder="1" applyAlignment="1">
      <alignment vertical="center" wrapText="1"/>
    </xf>
    <xf numFmtId="3" fontId="11" fillId="0" borderId="13" xfId="0" applyNumberFormat="1" applyFont="1" applyBorder="1" applyAlignment="1">
      <alignment vertical="center" wrapText="1"/>
    </xf>
    <xf numFmtId="49" fontId="11" fillId="0" borderId="45" xfId="0" applyNumberFormat="1" applyFont="1" applyBorder="1" applyAlignment="1">
      <alignment horizontal="center" vertical="center" wrapText="1"/>
    </xf>
    <xf numFmtId="3" fontId="11" fillId="0" borderId="12" xfId="0" applyNumberFormat="1" applyFont="1" applyBorder="1" applyAlignment="1">
      <alignment vertical="center" wrapText="1"/>
    </xf>
    <xf numFmtId="3" fontId="11" fillId="0" borderId="18" xfId="0" applyNumberFormat="1" applyFont="1" applyBorder="1" applyAlignment="1">
      <alignment vertical="center" wrapText="1"/>
    </xf>
    <xf numFmtId="3" fontId="11" fillId="0" borderId="6" xfId="1" applyNumberFormat="1" applyBorder="1" applyAlignment="1">
      <alignment vertical="center" wrapText="1"/>
    </xf>
    <xf numFmtId="49" fontId="11" fillId="0" borderId="6" xfId="0" applyNumberFormat="1" applyFont="1" applyBorder="1" applyAlignment="1">
      <alignment horizontal="center" vertical="center" wrapText="1"/>
    </xf>
    <xf numFmtId="3" fontId="11" fillId="0" borderId="26" xfId="0" applyNumberFormat="1" applyFont="1" applyBorder="1" applyAlignment="1">
      <alignment vertical="center" wrapText="1"/>
    </xf>
    <xf numFmtId="3" fontId="11" fillId="0" borderId="37" xfId="1" applyNumberFormat="1" applyBorder="1" applyAlignment="1">
      <alignment vertical="center" wrapText="1"/>
    </xf>
    <xf numFmtId="49" fontId="11" fillId="0" borderId="36" xfId="0" applyNumberFormat="1" applyFont="1" applyBorder="1" applyAlignment="1">
      <alignment horizontal="center" vertical="center" wrapText="1"/>
    </xf>
    <xf numFmtId="3" fontId="11" fillId="0" borderId="19" xfId="1" applyNumberFormat="1" applyBorder="1" applyAlignment="1">
      <alignment vertical="center" wrapText="1"/>
    </xf>
    <xf numFmtId="3" fontId="13" fillId="0" borderId="22" xfId="0" applyNumberFormat="1" applyFont="1" applyBorder="1" applyAlignment="1">
      <alignment horizontal="right" vertical="center" wrapText="1"/>
    </xf>
    <xf numFmtId="3" fontId="11" fillId="0" borderId="22" xfId="0" applyNumberFormat="1" applyFont="1" applyBorder="1" applyAlignment="1">
      <alignment vertical="center" wrapText="1"/>
    </xf>
    <xf numFmtId="3" fontId="11" fillId="0" borderId="64" xfId="0" applyNumberFormat="1" applyFont="1" applyBorder="1" applyAlignment="1">
      <alignment vertical="center" wrapText="1"/>
    </xf>
    <xf numFmtId="3" fontId="11" fillId="0" borderId="65" xfId="0" applyNumberFormat="1" applyFont="1" applyBorder="1" applyAlignment="1">
      <alignment vertical="center" wrapText="1"/>
    </xf>
    <xf numFmtId="3" fontId="11" fillId="0" borderId="0" xfId="1" applyNumberFormat="1" applyAlignment="1">
      <alignment vertical="center" wrapText="1"/>
    </xf>
    <xf numFmtId="3" fontId="11" fillId="0" borderId="64" xfId="0" applyNumberFormat="1" applyFont="1" applyBorder="1" applyAlignment="1">
      <alignment horizontal="right" vertical="center" wrapText="1"/>
    </xf>
    <xf numFmtId="3" fontId="11" fillId="0" borderId="71" xfId="0" applyNumberFormat="1" applyFont="1" applyBorder="1" applyAlignment="1">
      <alignment horizontal="right" vertical="center" wrapText="1"/>
    </xf>
    <xf numFmtId="3" fontId="11" fillId="0" borderId="29" xfId="0" applyNumberFormat="1" applyFont="1" applyBorder="1" applyAlignment="1">
      <alignment horizontal="right" vertical="center" wrapText="1"/>
    </xf>
    <xf numFmtId="49" fontId="11" fillId="0" borderId="0" xfId="0" applyNumberFormat="1" applyFont="1" applyAlignment="1">
      <alignment horizontal="center" vertical="center" wrapText="1"/>
    </xf>
    <xf numFmtId="4" fontId="11" fillId="0" borderId="14" xfId="0" applyNumberFormat="1" applyFont="1" applyBorder="1" applyAlignment="1">
      <alignment horizontal="center" vertical="center" wrapText="1"/>
    </xf>
    <xf numFmtId="3" fontId="11" fillId="0" borderId="2" xfId="0" applyNumberFormat="1" applyFont="1" applyBorder="1" applyAlignment="1">
      <alignment vertical="center"/>
    </xf>
    <xf numFmtId="3" fontId="11" fillId="0" borderId="4" xfId="0" applyNumberFormat="1" applyFont="1" applyBorder="1" applyAlignment="1">
      <alignment vertical="center"/>
    </xf>
    <xf numFmtId="3" fontId="11" fillId="0" borderId="62" xfId="0" applyNumberFormat="1" applyFont="1" applyBorder="1" applyAlignment="1">
      <alignment vertical="center"/>
    </xf>
    <xf numFmtId="3" fontId="11" fillId="0" borderId="63" xfId="0" applyNumberFormat="1" applyFont="1" applyBorder="1" applyAlignment="1">
      <alignment vertical="center"/>
    </xf>
    <xf numFmtId="3" fontId="11" fillId="0" borderId="8" xfId="0" applyNumberFormat="1" applyFont="1" applyBorder="1" applyAlignment="1">
      <alignment vertical="center"/>
    </xf>
    <xf numFmtId="3" fontId="11" fillId="0" borderId="62" xfId="0" applyNumberFormat="1" applyFont="1" applyBorder="1" applyAlignment="1">
      <alignment horizontal="right" vertical="center"/>
    </xf>
    <xf numFmtId="3" fontId="11" fillId="0" borderId="53" xfId="0" applyNumberFormat="1" applyFont="1" applyBorder="1" applyAlignment="1">
      <alignment horizontal="right" vertical="center"/>
    </xf>
    <xf numFmtId="3" fontId="11" fillId="0" borderId="9" xfId="0" applyNumberFormat="1" applyFont="1" applyBorder="1" applyAlignment="1">
      <alignment horizontal="right" vertical="center"/>
    </xf>
    <xf numFmtId="0" fontId="11" fillId="0" borderId="2" xfId="0" applyFont="1" applyBorder="1" applyAlignment="1">
      <alignment horizontal="center" vertical="center"/>
    </xf>
    <xf numFmtId="49" fontId="11" fillId="0" borderId="4" xfId="1" applyNumberFormat="1" applyBorder="1" applyAlignment="1">
      <alignment horizontal="center" vertical="center" wrapText="1"/>
    </xf>
    <xf numFmtId="49" fontId="11" fillId="0" borderId="2" xfId="1" applyNumberForma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/>
    </xf>
    <xf numFmtId="49" fontId="11" fillId="0" borderId="14" xfId="1" applyNumberFormat="1" applyBorder="1" applyAlignment="1">
      <alignment horizontal="center" vertical="center" wrapText="1"/>
    </xf>
    <xf numFmtId="49" fontId="11" fillId="0" borderId="30" xfId="1" applyNumberFormat="1" applyBorder="1" applyAlignment="1">
      <alignment horizontal="center" vertical="center" wrapText="1"/>
    </xf>
    <xf numFmtId="3" fontId="21" fillId="0" borderId="26" xfId="0" applyNumberFormat="1" applyFont="1" applyBorder="1" applyAlignment="1">
      <alignment horizontal="right" vertical="center" wrapText="1"/>
    </xf>
    <xf numFmtId="3" fontId="20" fillId="0" borderId="26" xfId="0" applyNumberFormat="1" applyFont="1" applyBorder="1" applyAlignment="1">
      <alignment vertical="center" wrapText="1"/>
    </xf>
    <xf numFmtId="3" fontId="20" fillId="0" borderId="31" xfId="0" applyNumberFormat="1" applyFont="1" applyBorder="1" applyAlignment="1">
      <alignment vertical="center" wrapText="1"/>
    </xf>
    <xf numFmtId="3" fontId="20" fillId="0" borderId="47" xfId="0" applyNumberFormat="1" applyFont="1" applyBorder="1" applyAlignment="1">
      <alignment vertical="center" wrapText="1"/>
    </xf>
    <xf numFmtId="3" fontId="20" fillId="0" borderId="20" xfId="0" applyNumberFormat="1" applyFont="1" applyBorder="1" applyAlignment="1">
      <alignment vertical="center" wrapText="1"/>
    </xf>
    <xf numFmtId="3" fontId="20" fillId="0" borderId="32" xfId="1" applyNumberFormat="1" applyFont="1" applyBorder="1" applyAlignment="1">
      <alignment vertical="center" wrapText="1"/>
    </xf>
    <xf numFmtId="3" fontId="20" fillId="0" borderId="47" xfId="0" applyNumberFormat="1" applyFont="1" applyBorder="1" applyAlignment="1">
      <alignment horizontal="right" vertical="center" wrapText="1"/>
    </xf>
    <xf numFmtId="3" fontId="20" fillId="0" borderId="32" xfId="0" applyNumberFormat="1" applyFont="1" applyBorder="1" applyAlignment="1">
      <alignment horizontal="right" vertical="center" wrapText="1"/>
    </xf>
    <xf numFmtId="3" fontId="20" fillId="0" borderId="26" xfId="0" applyNumberFormat="1" applyFont="1" applyBorder="1" applyAlignment="1">
      <alignment horizontal="center" vertical="center" wrapText="1"/>
    </xf>
    <xf numFmtId="49" fontId="20" fillId="0" borderId="31" xfId="0" applyNumberFormat="1" applyFont="1" applyBorder="1" applyAlignment="1">
      <alignment horizontal="center" vertical="center" wrapText="1"/>
    </xf>
    <xf numFmtId="3" fontId="17" fillId="0" borderId="26" xfId="0" applyNumberFormat="1" applyFont="1" applyBorder="1" applyAlignment="1">
      <alignment vertical="center" wrapText="1"/>
    </xf>
    <xf numFmtId="3" fontId="17" fillId="0" borderId="31" xfId="0" applyNumberFormat="1" applyFont="1" applyBorder="1" applyAlignment="1">
      <alignment vertical="center" wrapText="1"/>
    </xf>
    <xf numFmtId="3" fontId="17" fillId="0" borderId="47" xfId="0" applyNumberFormat="1" applyFont="1" applyBorder="1" applyAlignment="1">
      <alignment vertical="center" wrapText="1"/>
    </xf>
    <xf numFmtId="3" fontId="17" fillId="0" borderId="20" xfId="0" applyNumberFormat="1" applyFont="1" applyBorder="1" applyAlignment="1">
      <alignment vertical="center" wrapText="1"/>
    </xf>
    <xf numFmtId="3" fontId="17" fillId="0" borderId="32" xfId="1" applyNumberFormat="1" applyFont="1" applyBorder="1" applyAlignment="1">
      <alignment vertical="center" wrapText="1"/>
    </xf>
    <xf numFmtId="3" fontId="11" fillId="0" borderId="45" xfId="1" applyNumberFormat="1" applyBorder="1" applyAlignment="1">
      <alignment vertical="center" wrapText="1"/>
    </xf>
    <xf numFmtId="3" fontId="17" fillId="0" borderId="18" xfId="0" applyNumberFormat="1" applyFont="1" applyBorder="1" applyAlignment="1">
      <alignment vertical="center" wrapText="1"/>
    </xf>
    <xf numFmtId="3" fontId="17" fillId="0" borderId="12" xfId="0" applyNumberFormat="1" applyFont="1" applyBorder="1" applyAlignment="1">
      <alignment vertical="center" wrapText="1"/>
    </xf>
    <xf numFmtId="3" fontId="17" fillId="0" borderId="55" xfId="0" applyNumberFormat="1" applyFont="1" applyBorder="1" applyAlignment="1">
      <alignment vertical="center" wrapText="1"/>
    </xf>
    <xf numFmtId="3" fontId="17" fillId="0" borderId="56" xfId="0" applyNumberFormat="1" applyFont="1" applyBorder="1" applyAlignment="1">
      <alignment vertical="center" wrapText="1"/>
    </xf>
    <xf numFmtId="3" fontId="17" fillId="0" borderId="5" xfId="1" applyNumberFormat="1" applyFont="1" applyBorder="1" applyAlignment="1">
      <alignment vertical="center" wrapText="1"/>
    </xf>
    <xf numFmtId="49" fontId="17" fillId="0" borderId="12" xfId="0" applyNumberFormat="1" applyFont="1" applyBorder="1" applyAlignment="1">
      <alignment horizontal="center" vertical="center" wrapText="1"/>
    </xf>
    <xf numFmtId="3" fontId="11" fillId="0" borderId="31" xfId="0" applyNumberFormat="1" applyFont="1" applyBorder="1" applyAlignment="1">
      <alignment vertical="center" wrapText="1"/>
    </xf>
    <xf numFmtId="49" fontId="11" fillId="0" borderId="23" xfId="1" applyNumberFormat="1" applyBorder="1" applyAlignment="1">
      <alignment horizontal="center" vertical="center" wrapText="1"/>
    </xf>
    <xf numFmtId="49" fontId="11" fillId="0" borderId="13" xfId="1" applyNumberFormat="1" applyBorder="1" applyAlignment="1">
      <alignment horizontal="center" vertical="center" wrapText="1"/>
    </xf>
    <xf numFmtId="0" fontId="31" fillId="0" borderId="13" xfId="0" applyFont="1" applyBorder="1" applyAlignment="1">
      <alignment horizontal="center" vertical="center" wrapText="1"/>
    </xf>
    <xf numFmtId="0" fontId="30" fillId="0" borderId="23" xfId="0" applyFont="1" applyBorder="1" applyAlignment="1">
      <alignment horizontal="center" vertical="center" wrapText="1"/>
    </xf>
    <xf numFmtId="3" fontId="17" fillId="0" borderId="18" xfId="0" applyNumberFormat="1" applyFont="1" applyBorder="1" applyAlignment="1">
      <alignment vertical="center"/>
    </xf>
    <xf numFmtId="3" fontId="17" fillId="0" borderId="12" xfId="0" applyNumberFormat="1" applyFont="1" applyBorder="1" applyAlignment="1">
      <alignment vertical="center"/>
    </xf>
    <xf numFmtId="3" fontId="17" fillId="0" borderId="55" xfId="0" applyNumberFormat="1" applyFont="1" applyBorder="1" applyAlignment="1">
      <alignment vertical="center"/>
    </xf>
    <xf numFmtId="3" fontId="17" fillId="0" borderId="56" xfId="0" applyNumberFormat="1" applyFont="1" applyBorder="1" applyAlignment="1">
      <alignment vertical="center"/>
    </xf>
    <xf numFmtId="3" fontId="17" fillId="0" borderId="5" xfId="0" applyNumberFormat="1" applyFont="1" applyBorder="1" applyAlignment="1">
      <alignment vertical="center"/>
    </xf>
    <xf numFmtId="3" fontId="17" fillId="0" borderId="38" xfId="0" applyNumberFormat="1" applyFont="1" applyBorder="1" applyAlignment="1">
      <alignment horizontal="right" vertical="center"/>
    </xf>
    <xf numFmtId="3" fontId="17" fillId="0" borderId="5" xfId="0" applyNumberFormat="1" applyFont="1" applyBorder="1" applyAlignment="1">
      <alignment horizontal="right" vertical="center"/>
    </xf>
    <xf numFmtId="0" fontId="17" fillId="0" borderId="18" xfId="0" applyFont="1" applyBorder="1" applyAlignment="1">
      <alignment horizontal="center" vertical="center"/>
    </xf>
    <xf numFmtId="49" fontId="17" fillId="0" borderId="12" xfId="0" applyNumberFormat="1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3" fontId="11" fillId="0" borderId="16" xfId="0" applyNumberFormat="1" applyFont="1" applyBorder="1" applyAlignment="1">
      <alignment horizontal="right" vertical="center"/>
    </xf>
    <xf numFmtId="0" fontId="11" fillId="0" borderId="30" xfId="0" applyFont="1" applyBorder="1" applyAlignment="1">
      <alignment horizontal="center" vertical="center"/>
    </xf>
    <xf numFmtId="0" fontId="29" fillId="0" borderId="14" xfId="0" applyFont="1" applyBorder="1" applyAlignment="1">
      <alignment horizontal="center" vertical="center"/>
    </xf>
    <xf numFmtId="3" fontId="11" fillId="0" borderId="25" xfId="0" applyNumberFormat="1" applyFont="1" applyBorder="1" applyAlignment="1">
      <alignment vertical="center"/>
    </xf>
    <xf numFmtId="0" fontId="11" fillId="0" borderId="23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29" fillId="0" borderId="23" xfId="0" applyFont="1" applyBorder="1" applyAlignment="1">
      <alignment horizontal="center" vertical="center"/>
    </xf>
    <xf numFmtId="3" fontId="17" fillId="0" borderId="25" xfId="0" applyNumberFormat="1" applyFont="1" applyBorder="1" applyAlignment="1">
      <alignment vertical="center"/>
    </xf>
    <xf numFmtId="3" fontId="17" fillId="0" borderId="58" xfId="0" applyNumberFormat="1" applyFont="1" applyBorder="1" applyAlignment="1">
      <alignment vertical="center"/>
    </xf>
    <xf numFmtId="3" fontId="17" fillId="0" borderId="21" xfId="0" applyNumberFormat="1" applyFont="1" applyBorder="1" applyAlignment="1">
      <alignment vertical="center"/>
    </xf>
    <xf numFmtId="3" fontId="17" fillId="0" borderId="27" xfId="0" applyNumberFormat="1" applyFont="1" applyBorder="1" applyAlignment="1">
      <alignment vertical="center"/>
    </xf>
    <xf numFmtId="3" fontId="17" fillId="0" borderId="24" xfId="0" applyNumberFormat="1" applyFont="1" applyBorder="1" applyAlignment="1">
      <alignment horizontal="right" vertical="center"/>
    </xf>
    <xf numFmtId="0" fontId="17" fillId="0" borderId="23" xfId="0" applyFont="1" applyBorder="1" applyAlignment="1">
      <alignment horizontal="center" vertical="center"/>
    </xf>
    <xf numFmtId="49" fontId="17" fillId="0" borderId="25" xfId="0" applyNumberFormat="1" applyFont="1" applyBorder="1" applyAlignment="1">
      <alignment horizontal="center" vertical="center"/>
    </xf>
    <xf numFmtId="0" fontId="17" fillId="0" borderId="25" xfId="0" applyFont="1" applyBorder="1" applyAlignment="1">
      <alignment horizontal="center" vertical="center"/>
    </xf>
    <xf numFmtId="0" fontId="43" fillId="0" borderId="23" xfId="0" applyFont="1" applyBorder="1" applyAlignment="1">
      <alignment horizontal="center" vertical="center"/>
    </xf>
    <xf numFmtId="0" fontId="17" fillId="0" borderId="30" xfId="0" applyFont="1" applyBorder="1" applyAlignment="1">
      <alignment horizontal="center" vertical="center"/>
    </xf>
    <xf numFmtId="0" fontId="43" fillId="0" borderId="14" xfId="0" applyFont="1" applyBorder="1" applyAlignment="1">
      <alignment horizontal="center" vertical="center"/>
    </xf>
    <xf numFmtId="3" fontId="15" fillId="0" borderId="58" xfId="0" applyNumberFormat="1" applyFont="1" applyBorder="1" applyAlignment="1">
      <alignment vertical="center"/>
    </xf>
    <xf numFmtId="3" fontId="15" fillId="0" borderId="21" xfId="0" applyNumberFormat="1" applyFont="1" applyBorder="1" applyAlignment="1">
      <alignment vertical="center"/>
    </xf>
    <xf numFmtId="3" fontId="15" fillId="0" borderId="27" xfId="0" applyNumberFormat="1" applyFont="1" applyBorder="1" applyAlignment="1">
      <alignment vertical="center"/>
    </xf>
    <xf numFmtId="3" fontId="15" fillId="0" borderId="24" xfId="0" applyNumberFormat="1" applyFont="1" applyBorder="1" applyAlignment="1">
      <alignment horizontal="right" vertical="center"/>
    </xf>
    <xf numFmtId="0" fontId="15" fillId="0" borderId="23" xfId="0" applyFont="1" applyBorder="1" applyAlignment="1">
      <alignment horizontal="center" vertical="center"/>
    </xf>
    <xf numFmtId="49" fontId="15" fillId="0" borderId="25" xfId="0" applyNumberFormat="1" applyFont="1" applyBorder="1" applyAlignment="1">
      <alignment horizontal="center" vertical="center"/>
    </xf>
    <xf numFmtId="0" fontId="15" fillId="0" borderId="25" xfId="0" applyFont="1" applyBorder="1" applyAlignment="1">
      <alignment horizontal="center" vertical="center"/>
    </xf>
    <xf numFmtId="0" fontId="45" fillId="0" borderId="23" xfId="0" applyFont="1" applyBorder="1" applyAlignment="1">
      <alignment horizontal="center" vertical="center"/>
    </xf>
    <xf numFmtId="0" fontId="17" fillId="0" borderId="31" xfId="0" applyFont="1" applyBorder="1" applyAlignment="1">
      <alignment horizontal="center" vertical="center"/>
    </xf>
    <xf numFmtId="0" fontId="43" fillId="0" borderId="26" xfId="0" applyFont="1" applyBorder="1" applyAlignment="1">
      <alignment horizontal="center" vertical="center"/>
    </xf>
    <xf numFmtId="3" fontId="46" fillId="0" borderId="23" xfId="0" applyNumberFormat="1" applyFont="1" applyBorder="1" applyAlignment="1">
      <alignment vertical="center"/>
    </xf>
    <xf numFmtId="3" fontId="19" fillId="0" borderId="24" xfId="0" applyNumberFormat="1" applyFont="1" applyBorder="1" applyAlignment="1">
      <alignment horizontal="right" vertical="center"/>
    </xf>
    <xf numFmtId="0" fontId="19" fillId="0" borderId="25" xfId="0" applyFont="1" applyBorder="1" applyAlignment="1">
      <alignment horizontal="center" vertical="center"/>
    </xf>
    <xf numFmtId="0" fontId="46" fillId="0" borderId="23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29" fillId="0" borderId="18" xfId="0" applyFont="1" applyBorder="1" applyAlignment="1">
      <alignment horizontal="center" vertical="center"/>
    </xf>
    <xf numFmtId="0" fontId="11" fillId="0" borderId="18" xfId="1" applyBorder="1" applyAlignment="1">
      <alignment horizontal="center" vertical="center"/>
    </xf>
    <xf numFmtId="0" fontId="11" fillId="0" borderId="23" xfId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29" fillId="0" borderId="13" xfId="0" applyFont="1" applyBorder="1" applyAlignment="1">
      <alignment horizontal="center" vertical="center"/>
    </xf>
    <xf numFmtId="3" fontId="17" fillId="0" borderId="24" xfId="0" applyNumberFormat="1" applyFont="1" applyBorder="1" applyAlignment="1">
      <alignment vertical="center"/>
    </xf>
    <xf numFmtId="3" fontId="17" fillId="0" borderId="27" xfId="0" applyNumberFormat="1" applyFont="1" applyBorder="1" applyAlignment="1">
      <alignment horizontal="right" vertical="center"/>
    </xf>
    <xf numFmtId="3" fontId="11" fillId="0" borderId="32" xfId="0" applyNumberFormat="1" applyFont="1" applyBorder="1" applyAlignment="1">
      <alignment vertical="center"/>
    </xf>
    <xf numFmtId="0" fontId="11" fillId="0" borderId="31" xfId="0" applyFont="1" applyBorder="1" applyAlignment="1">
      <alignment horizontal="center" vertical="center"/>
    </xf>
    <xf numFmtId="0" fontId="29" fillId="0" borderId="26" xfId="0" applyFont="1" applyBorder="1" applyAlignment="1">
      <alignment horizontal="center" vertical="center"/>
    </xf>
    <xf numFmtId="3" fontId="11" fillId="0" borderId="24" xfId="0" applyNumberFormat="1" applyFont="1" applyBorder="1" applyAlignment="1">
      <alignment vertical="center"/>
    </xf>
    <xf numFmtId="3" fontId="19" fillId="0" borderId="32" xfId="0" applyNumberFormat="1" applyFont="1" applyBorder="1" applyAlignment="1">
      <alignment vertical="center"/>
    </xf>
    <xf numFmtId="0" fontId="19" fillId="0" borderId="31" xfId="0" applyFont="1" applyBorder="1" applyAlignment="1">
      <alignment horizontal="center" vertical="center"/>
    </xf>
    <xf numFmtId="0" fontId="46" fillId="0" borderId="26" xfId="0" applyFont="1" applyBorder="1" applyAlignment="1">
      <alignment horizontal="center" vertical="center"/>
    </xf>
    <xf numFmtId="3" fontId="17" fillId="0" borderId="45" xfId="0" applyNumberFormat="1" applyFont="1" applyBorder="1" applyAlignment="1">
      <alignment vertical="center"/>
    </xf>
    <xf numFmtId="0" fontId="17" fillId="0" borderId="15" xfId="0" applyFont="1" applyBorder="1" applyAlignment="1">
      <alignment horizontal="center" vertical="center"/>
    </xf>
    <xf numFmtId="0" fontId="43" fillId="0" borderId="13" xfId="0" applyFont="1" applyBorder="1" applyAlignment="1">
      <alignment horizontal="center" vertical="center"/>
    </xf>
    <xf numFmtId="3" fontId="15" fillId="0" borderId="24" xfId="0" applyNumberFormat="1" applyFont="1" applyBorder="1" applyAlignment="1">
      <alignment vertical="center"/>
    </xf>
    <xf numFmtId="3" fontId="15" fillId="0" borderId="27" xfId="0" applyNumberFormat="1" applyFont="1" applyBorder="1" applyAlignment="1">
      <alignment horizontal="right" vertical="center"/>
    </xf>
    <xf numFmtId="3" fontId="11" fillId="0" borderId="45" xfId="0" applyNumberFormat="1" applyFont="1" applyBorder="1" applyAlignment="1">
      <alignment vertical="center"/>
    </xf>
    <xf numFmtId="3" fontId="11" fillId="0" borderId="29" xfId="0" applyNumberFormat="1" applyFont="1" applyBorder="1" applyAlignment="1">
      <alignment vertical="center"/>
    </xf>
    <xf numFmtId="49" fontId="19" fillId="0" borderId="26" xfId="0" applyNumberFormat="1" applyFont="1" applyBorder="1" applyAlignment="1">
      <alignment horizontal="center" vertical="center"/>
    </xf>
    <xf numFmtId="49" fontId="11" fillId="0" borderId="13" xfId="0" applyNumberFormat="1" applyFont="1" applyBorder="1" applyAlignment="1">
      <alignment horizontal="center" vertical="center"/>
    </xf>
    <xf numFmtId="3" fontId="15" fillId="0" borderId="26" xfId="0" applyNumberFormat="1" applyFont="1" applyBorder="1" applyAlignment="1">
      <alignment vertical="center"/>
    </xf>
    <xf numFmtId="3" fontId="15" fillId="0" borderId="32" xfId="0" applyNumberFormat="1" applyFont="1" applyBorder="1" applyAlignment="1">
      <alignment vertical="center"/>
    </xf>
    <xf numFmtId="3" fontId="15" fillId="0" borderId="47" xfId="0" applyNumberFormat="1" applyFont="1" applyBorder="1" applyAlignment="1">
      <alignment vertical="center"/>
    </xf>
    <xf numFmtId="3" fontId="15" fillId="0" borderId="20" xfId="0" applyNumberFormat="1" applyFont="1" applyBorder="1" applyAlignment="1">
      <alignment vertical="center"/>
    </xf>
    <xf numFmtId="0" fontId="15" fillId="0" borderId="26" xfId="0" applyFont="1" applyBorder="1" applyAlignment="1">
      <alignment horizontal="center" vertical="center"/>
    </xf>
    <xf numFmtId="49" fontId="15" fillId="0" borderId="31" xfId="0" applyNumberFormat="1" applyFont="1" applyBorder="1" applyAlignment="1">
      <alignment horizontal="center" vertical="center"/>
    </xf>
    <xf numFmtId="0" fontId="15" fillId="0" borderId="31" xfId="0" applyFont="1" applyBorder="1" applyAlignment="1">
      <alignment horizontal="center" vertical="center"/>
    </xf>
    <xf numFmtId="0" fontId="45" fillId="0" borderId="26" xfId="0" applyFont="1" applyBorder="1" applyAlignment="1">
      <alignment horizontal="center" vertical="center"/>
    </xf>
    <xf numFmtId="0" fontId="11" fillId="0" borderId="68" xfId="0" applyFont="1" applyBorder="1" applyAlignment="1">
      <alignment horizontal="center" vertical="center" wrapText="1"/>
    </xf>
    <xf numFmtId="0" fontId="11" fillId="0" borderId="69" xfId="0" applyFont="1" applyBorder="1" applyAlignment="1">
      <alignment horizontal="center" vertical="center" wrapText="1"/>
    </xf>
    <xf numFmtId="0" fontId="11" fillId="0" borderId="72" xfId="0" applyFont="1" applyBorder="1" applyAlignment="1">
      <alignment horizontal="center" vertical="center" wrapText="1"/>
    </xf>
    <xf numFmtId="0" fontId="29" fillId="0" borderId="30" xfId="0" applyFont="1" applyBorder="1" applyAlignment="1">
      <alignment horizontal="center" vertical="center"/>
    </xf>
    <xf numFmtId="3" fontId="11" fillId="0" borderId="56" xfId="0" applyNumberFormat="1" applyFont="1" applyBorder="1" applyAlignment="1">
      <alignment horizontal="right" vertical="center" wrapText="1"/>
    </xf>
    <xf numFmtId="3" fontId="13" fillId="0" borderId="72" xfId="0" applyNumberFormat="1" applyFont="1" applyBorder="1" applyAlignment="1">
      <alignment horizontal="right" vertical="center" wrapText="1"/>
    </xf>
    <xf numFmtId="0" fontId="11" fillId="0" borderId="14" xfId="0" applyFont="1" applyBorder="1" applyAlignment="1">
      <alignment horizontal="right" vertical="center" wrapText="1"/>
    </xf>
    <xf numFmtId="0" fontId="11" fillId="0" borderId="72" xfId="0" applyFont="1" applyBorder="1" applyAlignment="1">
      <alignment horizontal="right" vertical="center" wrapText="1"/>
    </xf>
    <xf numFmtId="0" fontId="11" fillId="0" borderId="69" xfId="0" applyFont="1" applyBorder="1" applyAlignment="1">
      <alignment horizontal="right" vertical="center" wrapText="1"/>
    </xf>
    <xf numFmtId="0" fontId="11" fillId="0" borderId="16" xfId="0" applyFont="1" applyBorder="1" applyAlignment="1">
      <alignment horizontal="right" vertical="center" wrapText="1"/>
    </xf>
    <xf numFmtId="0" fontId="11" fillId="0" borderId="26" xfId="0" applyFont="1" applyBorder="1" applyAlignment="1">
      <alignment horizontal="right" vertical="center" wrapText="1"/>
    </xf>
    <xf numFmtId="0" fontId="11" fillId="0" borderId="77" xfId="0" applyFont="1" applyBorder="1" applyAlignment="1">
      <alignment horizontal="right" vertical="center" wrapText="1"/>
    </xf>
    <xf numFmtId="0" fontId="11" fillId="0" borderId="81" xfId="0" applyFont="1" applyBorder="1" applyAlignment="1">
      <alignment horizontal="right" vertical="center" wrapText="1"/>
    </xf>
    <xf numFmtId="0" fontId="11" fillId="0" borderId="32" xfId="0" applyFont="1" applyBorder="1" applyAlignment="1">
      <alignment horizontal="right" vertical="center" wrapText="1"/>
    </xf>
    <xf numFmtId="0" fontId="11" fillId="0" borderId="37" xfId="0" applyFont="1" applyBorder="1" applyAlignment="1">
      <alignment horizontal="right" vertical="center" wrapText="1"/>
    </xf>
    <xf numFmtId="0" fontId="11" fillId="0" borderId="19" xfId="0" applyFont="1" applyBorder="1" applyAlignment="1">
      <alignment horizontal="center" vertical="center" wrapText="1"/>
    </xf>
    <xf numFmtId="3" fontId="11" fillId="0" borderId="62" xfId="0" applyNumberFormat="1" applyFont="1" applyBorder="1" applyAlignment="1">
      <alignment horizontal="right" vertical="center" wrapText="1"/>
    </xf>
    <xf numFmtId="3" fontId="11" fillId="0" borderId="63" xfId="0" applyNumberFormat="1" applyFont="1" applyBorder="1" applyAlignment="1">
      <alignment horizontal="right" vertical="center" wrapText="1"/>
    </xf>
    <xf numFmtId="0" fontId="29" fillId="0" borderId="11" xfId="0" applyFont="1" applyBorder="1"/>
    <xf numFmtId="0" fontId="29" fillId="0" borderId="20" xfId="0" applyFont="1" applyBorder="1"/>
    <xf numFmtId="3" fontId="17" fillId="0" borderId="56" xfId="0" applyNumberFormat="1" applyFont="1" applyBorder="1" applyAlignment="1">
      <alignment horizontal="right" vertical="center" wrapText="1"/>
    </xf>
    <xf numFmtId="3" fontId="36" fillId="17" borderId="24" xfId="0" applyNumberFormat="1" applyFont="1" applyFill="1" applyBorder="1" applyAlignment="1">
      <alignment horizontal="right" vertical="center" wrapText="1"/>
    </xf>
    <xf numFmtId="3" fontId="13" fillId="4" borderId="29" xfId="0" applyNumberFormat="1" applyFont="1" applyFill="1" applyBorder="1" applyAlignment="1">
      <alignment horizontal="right" vertical="center" wrapText="1"/>
    </xf>
    <xf numFmtId="3" fontId="13" fillId="4" borderId="32" xfId="0" applyNumberFormat="1" applyFont="1" applyFill="1" applyBorder="1" applyAlignment="1">
      <alignment horizontal="right" vertical="center" wrapText="1"/>
    </xf>
    <xf numFmtId="3" fontId="22" fillId="4" borderId="24" xfId="0" applyNumberFormat="1" applyFont="1" applyFill="1" applyBorder="1" applyAlignment="1">
      <alignment horizontal="center" vertical="center" wrapText="1"/>
    </xf>
    <xf numFmtId="49" fontId="22" fillId="4" borderId="25" xfId="0" applyNumberFormat="1" applyFont="1" applyFill="1" applyBorder="1" applyAlignment="1">
      <alignment horizontal="center" vertical="center" wrapText="1"/>
    </xf>
    <xf numFmtId="3" fontId="22" fillId="4" borderId="32" xfId="0" applyNumberFormat="1" applyFont="1" applyFill="1" applyBorder="1" applyAlignment="1">
      <alignment horizontal="center" vertical="center" wrapText="1"/>
    </xf>
    <xf numFmtId="49" fontId="22" fillId="4" borderId="31" xfId="0" applyNumberFormat="1" applyFont="1" applyFill="1" applyBorder="1" applyAlignment="1">
      <alignment horizontal="center" vertical="center" wrapText="1"/>
    </xf>
    <xf numFmtId="49" fontId="11" fillId="4" borderId="27" xfId="0" applyNumberFormat="1" applyFont="1" applyFill="1" applyBorder="1" applyAlignment="1">
      <alignment horizontal="center" vertical="center" wrapText="1"/>
    </xf>
    <xf numFmtId="49" fontId="11" fillId="4" borderId="37" xfId="0" applyNumberFormat="1" applyFont="1" applyFill="1" applyBorder="1" applyAlignment="1">
      <alignment horizontal="center" vertical="center" wrapText="1"/>
    </xf>
    <xf numFmtId="49" fontId="13" fillId="4" borderId="2" xfId="0" applyNumberFormat="1" applyFont="1" applyFill="1" applyBorder="1" applyAlignment="1">
      <alignment horizontal="center" vertical="center"/>
    </xf>
    <xf numFmtId="49" fontId="13" fillId="4" borderId="2" xfId="0" applyNumberFormat="1" applyFont="1" applyFill="1" applyBorder="1" applyAlignment="1">
      <alignment horizontal="center" vertical="center" shrinkToFit="1"/>
    </xf>
    <xf numFmtId="0" fontId="14" fillId="4" borderId="8" xfId="1" applyFont="1" applyFill="1" applyBorder="1" applyAlignment="1">
      <alignment horizontal="center" vertical="center" wrapText="1"/>
    </xf>
    <xf numFmtId="0" fontId="11" fillId="4" borderId="9" xfId="1" applyFill="1" applyBorder="1" applyAlignment="1">
      <alignment horizontal="center" vertical="center" wrapText="1"/>
    </xf>
    <xf numFmtId="0" fontId="11" fillId="4" borderId="2" xfId="1" applyFill="1" applyBorder="1" applyAlignment="1">
      <alignment horizontal="center" vertical="center" wrapText="1"/>
    </xf>
    <xf numFmtId="3" fontId="13" fillId="4" borderId="2" xfId="1" applyNumberFormat="1" applyFont="1" applyFill="1" applyBorder="1" applyAlignment="1">
      <alignment vertical="center"/>
    </xf>
    <xf numFmtId="3" fontId="13" fillId="4" borderId="4" xfId="1" applyNumberFormat="1" applyFont="1" applyFill="1" applyBorder="1" applyAlignment="1">
      <alignment vertical="center"/>
    </xf>
    <xf numFmtId="3" fontId="11" fillId="4" borderId="62" xfId="1" applyNumberFormat="1" applyFill="1" applyBorder="1" applyAlignment="1">
      <alignment vertical="center"/>
    </xf>
    <xf numFmtId="3" fontId="11" fillId="4" borderId="46" xfId="1" applyNumberFormat="1" applyFill="1" applyBorder="1" applyAlignment="1">
      <alignment vertical="center"/>
    </xf>
    <xf numFmtId="3" fontId="11" fillId="4" borderId="50" xfId="0" applyNumberFormat="1" applyFont="1" applyFill="1" applyBorder="1" applyAlignment="1">
      <alignment vertical="center"/>
    </xf>
    <xf numFmtId="3" fontId="11" fillId="4" borderId="2" xfId="0" applyNumberFormat="1" applyFont="1" applyFill="1" applyBorder="1" applyAlignment="1">
      <alignment horizontal="right" vertical="center"/>
    </xf>
    <xf numFmtId="3" fontId="13" fillId="4" borderId="9" xfId="0" applyNumberFormat="1" applyFont="1" applyFill="1" applyBorder="1" applyAlignment="1">
      <alignment horizontal="right" vertical="center"/>
    </xf>
    <xf numFmtId="3" fontId="11" fillId="4" borderId="2" xfId="0" applyNumberFormat="1" applyFont="1" applyFill="1" applyBorder="1" applyAlignment="1">
      <alignment vertical="center"/>
    </xf>
    <xf numFmtId="3" fontId="11" fillId="4" borderId="8" xfId="0" applyNumberFormat="1" applyFont="1" applyFill="1" applyBorder="1" applyAlignment="1">
      <alignment vertical="center"/>
    </xf>
    <xf numFmtId="3" fontId="11" fillId="4" borderId="62" xfId="0" applyNumberFormat="1" applyFont="1" applyFill="1" applyBorder="1" applyAlignment="1">
      <alignment horizontal="right" vertical="center"/>
    </xf>
    <xf numFmtId="3" fontId="11" fillId="4" borderId="53" xfId="0" applyNumberFormat="1" applyFont="1" applyFill="1" applyBorder="1" applyAlignment="1">
      <alignment horizontal="right" vertical="center"/>
    </xf>
    <xf numFmtId="3" fontId="11" fillId="4" borderId="8" xfId="0" applyNumberFormat="1" applyFont="1" applyFill="1" applyBorder="1" applyAlignment="1">
      <alignment horizontal="right" vertical="center"/>
    </xf>
    <xf numFmtId="0" fontId="11" fillId="4" borderId="2" xfId="0" applyFont="1" applyFill="1" applyBorder="1" applyAlignment="1">
      <alignment horizontal="center" vertical="center"/>
    </xf>
    <xf numFmtId="49" fontId="11" fillId="4" borderId="8" xfId="0" applyNumberFormat="1" applyFont="1" applyFill="1" applyBorder="1" applyAlignment="1">
      <alignment horizontal="center" vertical="center"/>
    </xf>
    <xf numFmtId="49" fontId="11" fillId="4" borderId="4" xfId="0" applyNumberFormat="1" applyFont="1" applyFill="1" applyBorder="1" applyAlignment="1">
      <alignment horizontal="center" vertical="center"/>
    </xf>
    <xf numFmtId="0" fontId="38" fillId="8" borderId="30" xfId="0" applyFont="1" applyFill="1" applyBorder="1" applyAlignment="1">
      <alignment wrapText="1"/>
    </xf>
    <xf numFmtId="49" fontId="13" fillId="11" borderId="2" xfId="0" applyNumberFormat="1" applyFont="1" applyFill="1" applyBorder="1" applyAlignment="1">
      <alignment horizontal="center" vertical="center"/>
    </xf>
    <xf numFmtId="49" fontId="11" fillId="4" borderId="2" xfId="0" applyNumberFormat="1" applyFont="1" applyFill="1" applyBorder="1" applyAlignment="1">
      <alignment horizontal="center" vertical="center" wrapText="1" shrinkToFit="1"/>
    </xf>
    <xf numFmtId="0" fontId="14" fillId="4" borderId="8" xfId="0" applyFont="1" applyFill="1" applyBorder="1" applyAlignment="1">
      <alignment horizontal="center" vertical="center" wrapText="1"/>
    </xf>
    <xf numFmtId="3" fontId="11" fillId="4" borderId="4" xfId="1" applyNumberFormat="1" applyFill="1" applyBorder="1" applyAlignment="1">
      <alignment horizontal="right" vertical="center" wrapText="1"/>
    </xf>
    <xf numFmtId="3" fontId="11" fillId="4" borderId="62" xfId="1" applyNumberFormat="1" applyFill="1" applyBorder="1" applyAlignment="1">
      <alignment horizontal="right" vertical="center" wrapText="1"/>
    </xf>
    <xf numFmtId="3" fontId="11" fillId="4" borderId="46" xfId="1" applyNumberFormat="1" applyFill="1" applyBorder="1" applyAlignment="1">
      <alignment horizontal="right" vertical="center" wrapText="1"/>
    </xf>
    <xf numFmtId="3" fontId="11" fillId="4" borderId="8" xfId="0" applyNumberFormat="1" applyFont="1" applyFill="1" applyBorder="1" applyAlignment="1">
      <alignment horizontal="right" vertical="center" wrapText="1"/>
    </xf>
    <xf numFmtId="3" fontId="11" fillId="4" borderId="4" xfId="0" applyNumberFormat="1" applyFont="1" applyFill="1" applyBorder="1" applyAlignment="1">
      <alignment horizontal="right" vertical="center" wrapText="1"/>
    </xf>
    <xf numFmtId="49" fontId="11" fillId="4" borderId="8" xfId="0" applyNumberFormat="1" applyFont="1" applyFill="1" applyBorder="1" applyAlignment="1">
      <alignment horizontal="center" vertical="center" wrapText="1"/>
    </xf>
    <xf numFmtId="49" fontId="11" fillId="4" borderId="4" xfId="0" applyNumberFormat="1" applyFont="1" applyFill="1" applyBorder="1" applyAlignment="1">
      <alignment horizontal="center" vertical="center" wrapText="1"/>
    </xf>
    <xf numFmtId="3" fontId="11" fillId="4" borderId="21" xfId="0" applyNumberFormat="1" applyFont="1" applyFill="1" applyBorder="1" applyAlignment="1">
      <alignment horizontal="right" vertical="center" wrapText="1"/>
    </xf>
    <xf numFmtId="3" fontId="38" fillId="0" borderId="2" xfId="0" applyNumberFormat="1" applyFont="1" applyBorder="1" applyAlignment="1">
      <alignment vertical="center"/>
    </xf>
    <xf numFmtId="3" fontId="38" fillId="0" borderId="23" xfId="0" applyNumberFormat="1" applyFont="1" applyBorder="1" applyAlignment="1">
      <alignment vertical="center"/>
    </xf>
    <xf numFmtId="3" fontId="38" fillId="0" borderId="26" xfId="0" applyNumberFormat="1" applyFont="1" applyBorder="1" applyAlignment="1">
      <alignment vertical="center"/>
    </xf>
    <xf numFmtId="3" fontId="38" fillId="0" borderId="62" xfId="0" applyNumberFormat="1" applyFont="1" applyBorder="1" applyAlignment="1">
      <alignment vertical="center"/>
    </xf>
    <xf numFmtId="3" fontId="38" fillId="0" borderId="47" xfId="0" applyNumberFormat="1" applyFont="1" applyBorder="1" applyAlignment="1">
      <alignment vertical="center"/>
    </xf>
    <xf numFmtId="3" fontId="38" fillId="0" borderId="9" xfId="0" applyNumberFormat="1" applyFont="1" applyBorder="1" applyAlignment="1">
      <alignment vertical="center"/>
    </xf>
    <xf numFmtId="3" fontId="38" fillId="0" borderId="24" xfId="0" applyNumberFormat="1" applyFont="1" applyBorder="1" applyAlignment="1">
      <alignment vertical="center"/>
    </xf>
    <xf numFmtId="3" fontId="38" fillId="0" borderId="32" xfId="0" applyNumberFormat="1" applyFont="1" applyBorder="1" applyAlignment="1">
      <alignment vertical="center"/>
    </xf>
    <xf numFmtId="3" fontId="38" fillId="0" borderId="16" xfId="0" applyNumberFormat="1" applyFont="1" applyBorder="1" applyAlignment="1">
      <alignment vertical="center"/>
    </xf>
    <xf numFmtId="3" fontId="38" fillId="0" borderId="58" xfId="0" applyNumberFormat="1" applyFont="1" applyBorder="1" applyAlignment="1">
      <alignment vertical="center"/>
    </xf>
    <xf numFmtId="3" fontId="38" fillId="0" borderId="14" xfId="0" applyNumberFormat="1" applyFont="1" applyBorder="1" applyAlignment="1">
      <alignment vertical="center"/>
    </xf>
    <xf numFmtId="3" fontId="38" fillId="0" borderId="68" xfId="0" applyNumberFormat="1" applyFont="1" applyBorder="1" applyAlignment="1">
      <alignment vertical="center"/>
    </xf>
    <xf numFmtId="0" fontId="50" fillId="0" borderId="0" xfId="0" applyFont="1"/>
    <xf numFmtId="3" fontId="50" fillId="0" borderId="0" xfId="0" applyNumberFormat="1" applyFont="1"/>
    <xf numFmtId="3" fontId="33" fillId="15" borderId="18" xfId="0" applyNumberFormat="1" applyFont="1" applyFill="1" applyBorder="1" applyAlignment="1">
      <alignment horizontal="center" vertical="center" wrapText="1"/>
    </xf>
    <xf numFmtId="3" fontId="33" fillId="6" borderId="55" xfId="0" applyNumberFormat="1" applyFont="1" applyFill="1" applyBorder="1" applyAlignment="1">
      <alignment horizontal="center" vertical="center" wrapText="1"/>
    </xf>
    <xf numFmtId="3" fontId="33" fillId="6" borderId="6" xfId="0" applyNumberFormat="1" applyFont="1" applyFill="1" applyBorder="1" applyAlignment="1">
      <alignment horizontal="center" vertical="center" wrapText="1"/>
    </xf>
    <xf numFmtId="49" fontId="36" fillId="2" borderId="33" xfId="0" applyNumberFormat="1" applyFont="1" applyFill="1" applyBorder="1" applyAlignment="1">
      <alignment horizontal="center" vertical="center"/>
    </xf>
    <xf numFmtId="49" fontId="36" fillId="2" borderId="33" xfId="0" applyNumberFormat="1" applyFont="1" applyFill="1" applyBorder="1" applyAlignment="1">
      <alignment horizontal="center" vertical="center" shrinkToFit="1"/>
    </xf>
    <xf numFmtId="0" fontId="39" fillId="2" borderId="40" xfId="1" applyFont="1" applyFill="1" applyBorder="1" applyAlignment="1">
      <alignment horizontal="center" vertical="center" wrapText="1"/>
    </xf>
    <xf numFmtId="0" fontId="19" fillId="2" borderId="26" xfId="0" applyFont="1" applyFill="1" applyBorder="1" applyAlignment="1">
      <alignment horizontal="center" vertical="center" wrapText="1"/>
    </xf>
    <xf numFmtId="0" fontId="19" fillId="2" borderId="35" xfId="1" applyFont="1" applyFill="1" applyBorder="1" applyAlignment="1">
      <alignment horizontal="center" vertical="center" wrapText="1"/>
    </xf>
    <xf numFmtId="0" fontId="19" fillId="2" borderId="33" xfId="1" applyFont="1" applyFill="1" applyBorder="1" applyAlignment="1">
      <alignment horizontal="center" vertical="center" wrapText="1"/>
    </xf>
    <xf numFmtId="3" fontId="36" fillId="2" borderId="33" xfId="1" applyNumberFormat="1" applyFont="1" applyFill="1" applyBorder="1" applyAlignment="1">
      <alignment vertical="center"/>
    </xf>
    <xf numFmtId="3" fontId="36" fillId="2" borderId="34" xfId="1" applyNumberFormat="1" applyFont="1" applyFill="1" applyBorder="1" applyAlignment="1">
      <alignment vertical="center"/>
    </xf>
    <xf numFmtId="3" fontId="19" fillId="2" borderId="49" xfId="1" applyNumberFormat="1" applyFont="1" applyFill="1" applyBorder="1" applyAlignment="1">
      <alignment vertical="center"/>
    </xf>
    <xf numFmtId="3" fontId="19" fillId="2" borderId="76" xfId="1" applyNumberFormat="1" applyFont="1" applyFill="1" applyBorder="1" applyAlignment="1">
      <alignment vertical="center"/>
    </xf>
    <xf numFmtId="3" fontId="19" fillId="2" borderId="70" xfId="0" applyNumberFormat="1" applyFont="1" applyFill="1" applyBorder="1" applyAlignment="1">
      <alignment vertical="center"/>
    </xf>
    <xf numFmtId="3" fontId="19" fillId="2" borderId="59" xfId="0" applyNumberFormat="1" applyFont="1" applyFill="1" applyBorder="1" applyAlignment="1">
      <alignment vertical="center"/>
    </xf>
    <xf numFmtId="3" fontId="19" fillId="2" borderId="33" xfId="0" applyNumberFormat="1" applyFont="1" applyFill="1" applyBorder="1" applyAlignment="1">
      <alignment horizontal="right" vertical="center"/>
    </xf>
    <xf numFmtId="3" fontId="36" fillId="2" borderId="35" xfId="0" applyNumberFormat="1" applyFont="1" applyFill="1" applyBorder="1" applyAlignment="1">
      <alignment horizontal="right" vertical="center"/>
    </xf>
    <xf numFmtId="3" fontId="19" fillId="2" borderId="26" xfId="0" applyNumberFormat="1" applyFont="1" applyFill="1" applyBorder="1" applyAlignment="1">
      <alignment vertical="center"/>
    </xf>
    <xf numFmtId="3" fontId="19" fillId="2" borderId="40" xfId="0" applyNumberFormat="1" applyFont="1" applyFill="1" applyBorder="1" applyAlignment="1">
      <alignment vertical="center"/>
    </xf>
    <xf numFmtId="3" fontId="19" fillId="2" borderId="49" xfId="0" applyNumberFormat="1" applyFont="1" applyFill="1" applyBorder="1" applyAlignment="1">
      <alignment vertical="center"/>
    </xf>
    <xf numFmtId="3" fontId="19" fillId="2" borderId="43" xfId="0" applyNumberFormat="1" applyFont="1" applyFill="1" applyBorder="1" applyAlignment="1">
      <alignment vertical="center"/>
    </xf>
    <xf numFmtId="3" fontId="19" fillId="2" borderId="49" xfId="0" applyNumberFormat="1" applyFont="1" applyFill="1" applyBorder="1" applyAlignment="1">
      <alignment horizontal="right" vertical="center"/>
    </xf>
    <xf numFmtId="3" fontId="19" fillId="2" borderId="70" xfId="0" applyNumberFormat="1" applyFont="1" applyFill="1" applyBorder="1" applyAlignment="1">
      <alignment horizontal="right" vertical="center"/>
    </xf>
    <xf numFmtId="3" fontId="19" fillId="2" borderId="40" xfId="0" applyNumberFormat="1" applyFont="1" applyFill="1" applyBorder="1" applyAlignment="1">
      <alignment horizontal="right" vertical="center"/>
    </xf>
    <xf numFmtId="0" fontId="19" fillId="2" borderId="33" xfId="0" applyFont="1" applyFill="1" applyBorder="1" applyAlignment="1">
      <alignment horizontal="center" vertical="center"/>
    </xf>
    <xf numFmtId="49" fontId="19" fillId="2" borderId="40" xfId="0" applyNumberFormat="1" applyFont="1" applyFill="1" applyBorder="1" applyAlignment="1">
      <alignment horizontal="center" vertical="center"/>
    </xf>
    <xf numFmtId="49" fontId="19" fillId="2" borderId="34" xfId="0" applyNumberFormat="1" applyFont="1" applyFill="1" applyBorder="1" applyAlignment="1">
      <alignment horizontal="center" vertical="center"/>
    </xf>
    <xf numFmtId="49" fontId="19" fillId="2" borderId="33" xfId="0" applyNumberFormat="1" applyFont="1" applyFill="1" applyBorder="1" applyAlignment="1">
      <alignment horizontal="center" vertical="center" wrapText="1"/>
    </xf>
    <xf numFmtId="0" fontId="39" fillId="0" borderId="15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3" fontId="19" fillId="0" borderId="45" xfId="0" applyNumberFormat="1" applyFont="1" applyBorder="1" applyAlignment="1">
      <alignment vertical="center"/>
    </xf>
    <xf numFmtId="0" fontId="19" fillId="0" borderId="15" xfId="0" applyFont="1" applyBorder="1" applyAlignment="1">
      <alignment horizontal="center" vertical="center"/>
    </xf>
    <xf numFmtId="0" fontId="46" fillId="0" borderId="13" xfId="0" applyFont="1" applyBorder="1" applyAlignment="1">
      <alignment horizontal="center" vertical="center"/>
    </xf>
    <xf numFmtId="3" fontId="36" fillId="0" borderId="13" xfId="0" applyNumberFormat="1" applyFont="1" applyBorder="1" applyAlignment="1">
      <alignment horizontal="right" vertical="center"/>
    </xf>
    <xf numFmtId="3" fontId="36" fillId="3" borderId="13" xfId="0" applyNumberFormat="1" applyFont="1" applyFill="1" applyBorder="1" applyAlignment="1">
      <alignment horizontal="right" vertical="center" wrapText="1"/>
    </xf>
    <xf numFmtId="3" fontId="33" fillId="5" borderId="14" xfId="0" applyNumberFormat="1" applyFont="1" applyFill="1" applyBorder="1" applyAlignment="1">
      <alignment horizontal="right" vertical="center"/>
    </xf>
    <xf numFmtId="3" fontId="33" fillId="5" borderId="68" xfId="0" applyNumberFormat="1" applyFont="1" applyFill="1" applyBorder="1" applyAlignment="1">
      <alignment horizontal="right" vertical="center"/>
    </xf>
    <xf numFmtId="3" fontId="33" fillId="5" borderId="16" xfId="0" applyNumberFormat="1" applyFont="1" applyFill="1" applyBorder="1" applyAlignment="1">
      <alignment horizontal="right" vertical="center"/>
    </xf>
    <xf numFmtId="3" fontId="33" fillId="15" borderId="18" xfId="0" applyNumberFormat="1" applyFont="1" applyFill="1" applyBorder="1" applyAlignment="1">
      <alignment horizontal="right" vertical="center"/>
    </xf>
    <xf numFmtId="3" fontId="37" fillId="5" borderId="55" xfId="0" applyNumberFormat="1" applyFont="1" applyFill="1" applyBorder="1" applyAlignment="1">
      <alignment vertical="center"/>
    </xf>
    <xf numFmtId="3" fontId="37" fillId="5" borderId="6" xfId="0" applyNumberFormat="1" applyFont="1" applyFill="1" applyBorder="1" applyAlignment="1">
      <alignment vertical="center"/>
    </xf>
    <xf numFmtId="49" fontId="14" fillId="4" borderId="28" xfId="0" applyNumberFormat="1" applyFont="1" applyFill="1" applyBorder="1" applyAlignment="1">
      <alignment horizontal="center" vertical="center" wrapText="1"/>
    </xf>
    <xf numFmtId="3" fontId="13" fillId="4" borderId="22" xfId="1" applyNumberFormat="1" applyFont="1" applyFill="1" applyBorder="1" applyAlignment="1">
      <alignment vertical="center" wrapText="1"/>
    </xf>
    <xf numFmtId="3" fontId="11" fillId="4" borderId="0" xfId="1" applyNumberFormat="1" applyFill="1" applyAlignment="1">
      <alignment horizontal="right" vertical="center" wrapText="1"/>
    </xf>
    <xf numFmtId="3" fontId="11" fillId="4" borderId="59" xfId="0" applyNumberFormat="1" applyFont="1" applyFill="1" applyBorder="1" applyAlignment="1">
      <alignment horizontal="right" vertical="center" wrapText="1"/>
    </xf>
    <xf numFmtId="3" fontId="11" fillId="4" borderId="70" xfId="0" applyNumberFormat="1" applyFont="1" applyFill="1" applyBorder="1" applyAlignment="1">
      <alignment horizontal="right" vertical="center" wrapText="1"/>
    </xf>
    <xf numFmtId="3" fontId="11" fillId="4" borderId="40" xfId="0" applyNumberFormat="1" applyFont="1" applyFill="1" applyBorder="1" applyAlignment="1">
      <alignment horizontal="right" vertical="center" wrapText="1"/>
    </xf>
    <xf numFmtId="3" fontId="11" fillId="4" borderId="49" xfId="0" applyNumberFormat="1" applyFont="1" applyFill="1" applyBorder="1" applyAlignment="1">
      <alignment horizontal="right" vertical="center" wrapText="1"/>
    </xf>
    <xf numFmtId="3" fontId="11" fillId="4" borderId="43" xfId="0" applyNumberFormat="1" applyFont="1" applyFill="1" applyBorder="1" applyAlignment="1">
      <alignment horizontal="right" vertical="center" wrapText="1"/>
    </xf>
    <xf numFmtId="2" fontId="11" fillId="4" borderId="22" xfId="0" applyNumberFormat="1" applyFont="1" applyFill="1" applyBorder="1" applyAlignment="1">
      <alignment horizontal="center" vertical="center" wrapText="1"/>
    </xf>
    <xf numFmtId="49" fontId="11" fillId="4" borderId="28" xfId="0" applyNumberFormat="1" applyFont="1" applyFill="1" applyBorder="1" applyAlignment="1">
      <alignment horizontal="center" vertical="center" wrapText="1"/>
    </xf>
    <xf numFmtId="0" fontId="11" fillId="4" borderId="33" xfId="1" applyFill="1" applyBorder="1" applyAlignment="1">
      <alignment horizontal="center" vertical="center" wrapText="1"/>
    </xf>
    <xf numFmtId="3" fontId="17" fillId="0" borderId="42" xfId="0" applyNumberFormat="1" applyFont="1" applyBorder="1" applyAlignment="1">
      <alignment horizontal="right" vertical="center"/>
    </xf>
    <xf numFmtId="3" fontId="17" fillId="0" borderId="45" xfId="0" applyNumberFormat="1" applyFont="1" applyBorder="1" applyAlignment="1">
      <alignment horizontal="right" vertical="center"/>
    </xf>
    <xf numFmtId="0" fontId="39" fillId="0" borderId="37" xfId="0" applyFont="1" applyBorder="1" applyAlignment="1">
      <alignment horizontal="center" vertical="center" wrapText="1"/>
    </xf>
    <xf numFmtId="0" fontId="19" fillId="0" borderId="23" xfId="1" applyFont="1" applyBorder="1" applyAlignment="1">
      <alignment horizontal="center" vertical="center"/>
    </xf>
    <xf numFmtId="49" fontId="36" fillId="0" borderId="14" xfId="0" applyNumberFormat="1" applyFont="1" applyBorder="1" applyAlignment="1">
      <alignment horizontal="center" vertical="center" wrapText="1"/>
    </xf>
    <xf numFmtId="49" fontId="36" fillId="0" borderId="30" xfId="0" applyNumberFormat="1" applyFont="1" applyBorder="1" applyAlignment="1">
      <alignment horizontal="center" vertical="center" wrapText="1" shrinkToFit="1"/>
    </xf>
    <xf numFmtId="0" fontId="39" fillId="0" borderId="30" xfId="1" applyFont="1" applyBorder="1" applyAlignment="1">
      <alignment horizontal="center" vertical="center" wrapText="1"/>
    </xf>
    <xf numFmtId="0" fontId="19" fillId="0" borderId="16" xfId="1" applyFont="1" applyBorder="1" applyAlignment="1">
      <alignment horizontal="center" vertical="center" wrapText="1"/>
    </xf>
    <xf numFmtId="0" fontId="19" fillId="0" borderId="14" xfId="1" applyFont="1" applyBorder="1" applyAlignment="1">
      <alignment horizontal="center" vertical="center" wrapText="1"/>
    </xf>
    <xf numFmtId="3" fontId="36" fillId="0" borderId="14" xfId="1" applyNumberFormat="1" applyFont="1" applyBorder="1" applyAlignment="1">
      <alignment vertical="center" wrapText="1"/>
    </xf>
    <xf numFmtId="3" fontId="36" fillId="0" borderId="30" xfId="1" applyNumberFormat="1" applyFont="1" applyBorder="1" applyAlignment="1">
      <alignment vertical="center" wrapText="1"/>
    </xf>
    <xf numFmtId="3" fontId="19" fillId="0" borderId="68" xfId="1" applyNumberFormat="1" applyFont="1" applyBorder="1" applyAlignment="1">
      <alignment vertical="center" wrapText="1"/>
    </xf>
    <xf numFmtId="3" fontId="19" fillId="0" borderId="52" xfId="1" applyNumberFormat="1" applyFont="1" applyBorder="1" applyAlignment="1">
      <alignment vertical="center" wrapText="1"/>
    </xf>
    <xf numFmtId="3" fontId="19" fillId="0" borderId="72" xfId="0" applyNumberFormat="1" applyFont="1" applyBorder="1" applyAlignment="1">
      <alignment vertical="center" wrapText="1"/>
    </xf>
    <xf numFmtId="3" fontId="19" fillId="0" borderId="74" xfId="0" applyNumberFormat="1" applyFont="1" applyBorder="1" applyAlignment="1">
      <alignment vertical="center" wrapText="1"/>
    </xf>
    <xf numFmtId="3" fontId="19" fillId="0" borderId="14" xfId="0" applyNumberFormat="1" applyFont="1" applyBorder="1" applyAlignment="1">
      <alignment horizontal="right" vertical="center" wrapText="1"/>
    </xf>
    <xf numFmtId="3" fontId="36" fillId="3" borderId="1" xfId="0" applyNumberFormat="1" applyFont="1" applyFill="1" applyBorder="1" applyAlignment="1">
      <alignment horizontal="right" vertical="center" wrapText="1"/>
    </xf>
    <xf numFmtId="3" fontId="36" fillId="0" borderId="14" xfId="0" applyNumberFormat="1" applyFont="1" applyBorder="1" applyAlignment="1">
      <alignment horizontal="right" vertical="center" wrapText="1"/>
    </xf>
    <xf numFmtId="3" fontId="19" fillId="0" borderId="14" xfId="0" applyNumberFormat="1" applyFont="1" applyBorder="1" applyAlignment="1">
      <alignment vertical="center" wrapText="1"/>
    </xf>
    <xf numFmtId="3" fontId="19" fillId="0" borderId="1" xfId="0" applyNumberFormat="1" applyFont="1" applyBorder="1" applyAlignment="1">
      <alignment vertical="center" wrapText="1"/>
    </xf>
    <xf numFmtId="3" fontId="19" fillId="0" borderId="68" xfId="0" applyNumberFormat="1" applyFont="1" applyBorder="1" applyAlignment="1">
      <alignment vertical="center" wrapText="1"/>
    </xf>
    <xf numFmtId="3" fontId="19" fillId="0" borderId="69" xfId="0" applyNumberFormat="1" applyFont="1" applyBorder="1" applyAlignment="1">
      <alignment vertical="center" wrapText="1"/>
    </xf>
    <xf numFmtId="3" fontId="19" fillId="0" borderId="1" xfId="1" applyNumberFormat="1" applyFont="1" applyBorder="1" applyAlignment="1">
      <alignment vertical="center" wrapText="1"/>
    </xf>
    <xf numFmtId="3" fontId="19" fillId="0" borderId="68" xfId="0" applyNumberFormat="1" applyFont="1" applyBorder="1" applyAlignment="1">
      <alignment horizontal="right" vertical="center" wrapText="1"/>
    </xf>
    <xf numFmtId="3" fontId="19" fillId="0" borderId="72" xfId="0" applyNumberFormat="1" applyFont="1" applyBorder="1" applyAlignment="1">
      <alignment horizontal="right" vertical="center" wrapText="1"/>
    </xf>
    <xf numFmtId="3" fontId="19" fillId="0" borderId="16" xfId="0" applyNumberFormat="1" applyFont="1" applyBorder="1" applyAlignment="1">
      <alignment horizontal="right" vertical="center" wrapText="1"/>
    </xf>
    <xf numFmtId="3" fontId="19" fillId="0" borderId="14" xfId="0" applyNumberFormat="1" applyFont="1" applyBorder="1" applyAlignment="1">
      <alignment horizontal="center" vertical="center" wrapText="1"/>
    </xf>
    <xf numFmtId="49" fontId="19" fillId="0" borderId="14" xfId="0" applyNumberFormat="1" applyFont="1" applyBorder="1" applyAlignment="1">
      <alignment horizontal="center" vertical="center" wrapText="1"/>
    </xf>
    <xf numFmtId="49" fontId="18" fillId="0" borderId="15" xfId="0" applyNumberFormat="1" applyFont="1" applyBorder="1" applyAlignment="1">
      <alignment horizontal="center" vertical="center" wrapText="1" shrinkToFit="1"/>
    </xf>
    <xf numFmtId="3" fontId="17" fillId="0" borderId="1" xfId="1" applyNumberFormat="1" applyFont="1" applyBorder="1" applyAlignment="1">
      <alignment vertical="center" wrapText="1"/>
    </xf>
    <xf numFmtId="3" fontId="17" fillId="0" borderId="39" xfId="0" applyNumberFormat="1" applyFont="1" applyBorder="1" applyAlignment="1">
      <alignment vertical="center" wrapText="1"/>
    </xf>
    <xf numFmtId="3" fontId="18" fillId="3" borderId="5" xfId="0" applyNumberFormat="1" applyFont="1" applyFill="1" applyBorder="1" applyAlignment="1">
      <alignment horizontal="right" vertical="center" wrapText="1"/>
    </xf>
    <xf numFmtId="0" fontId="40" fillId="0" borderId="51" xfId="1" applyFont="1" applyBorder="1" applyAlignment="1">
      <alignment horizontal="center" vertical="center" wrapText="1"/>
    </xf>
    <xf numFmtId="3" fontId="17" fillId="0" borderId="58" xfId="1" applyNumberFormat="1" applyFont="1" applyBorder="1" applyAlignment="1">
      <alignment vertical="center" wrapText="1"/>
    </xf>
    <xf numFmtId="3" fontId="17" fillId="0" borderId="75" xfId="1" applyNumberFormat="1" applyFont="1" applyBorder="1" applyAlignment="1">
      <alignment vertical="center" wrapText="1"/>
    </xf>
    <xf numFmtId="3" fontId="17" fillId="0" borderId="44" xfId="0" applyNumberFormat="1" applyFont="1" applyBorder="1" applyAlignment="1">
      <alignment vertical="center" wrapText="1"/>
    </xf>
    <xf numFmtId="3" fontId="17" fillId="0" borderId="51" xfId="0" applyNumberFormat="1" applyFont="1" applyBorder="1" applyAlignment="1">
      <alignment vertical="center" wrapText="1"/>
    </xf>
    <xf numFmtId="3" fontId="18" fillId="3" borderId="21" xfId="0" applyNumberFormat="1" applyFont="1" applyFill="1" applyBorder="1" applyAlignment="1">
      <alignment horizontal="right" vertical="center" wrapText="1"/>
    </xf>
    <xf numFmtId="3" fontId="17" fillId="0" borderId="23" xfId="0" applyNumberFormat="1" applyFont="1" applyBorder="1" applyAlignment="1">
      <alignment vertical="center" wrapText="1"/>
    </xf>
    <xf numFmtId="3" fontId="17" fillId="0" borderId="58" xfId="0" applyNumberFormat="1" applyFont="1" applyBorder="1" applyAlignment="1">
      <alignment vertical="center" wrapText="1"/>
    </xf>
    <xf numFmtId="3" fontId="17" fillId="0" borderId="21" xfId="0" applyNumberFormat="1" applyFont="1" applyBorder="1" applyAlignment="1">
      <alignment vertical="center" wrapText="1"/>
    </xf>
    <xf numFmtId="3" fontId="17" fillId="0" borderId="24" xfId="1" applyNumberFormat="1" applyFont="1" applyBorder="1" applyAlignment="1">
      <alignment vertical="center" wrapText="1"/>
    </xf>
    <xf numFmtId="49" fontId="17" fillId="0" borderId="24" xfId="0" applyNumberFormat="1" applyFont="1" applyBorder="1" applyAlignment="1">
      <alignment horizontal="center" vertical="center" wrapText="1"/>
    </xf>
    <xf numFmtId="3" fontId="17" fillId="0" borderId="48" xfId="0" applyNumberFormat="1" applyFont="1" applyBorder="1" applyAlignment="1">
      <alignment vertical="center" wrapText="1"/>
    </xf>
    <xf numFmtId="3" fontId="17" fillId="0" borderId="61" xfId="0" applyNumberFormat="1" applyFont="1" applyBorder="1" applyAlignment="1">
      <alignment vertical="center" wrapText="1"/>
    </xf>
    <xf numFmtId="3" fontId="18" fillId="3" borderId="48" xfId="0" applyNumberFormat="1" applyFont="1" applyFill="1" applyBorder="1" applyAlignment="1">
      <alignment horizontal="right" vertical="center" wrapText="1"/>
    </xf>
    <xf numFmtId="3" fontId="17" fillId="0" borderId="19" xfId="0" applyNumberFormat="1" applyFont="1" applyBorder="1" applyAlignment="1">
      <alignment vertical="center" wrapText="1"/>
    </xf>
    <xf numFmtId="3" fontId="17" fillId="0" borderId="13" xfId="0" applyNumberFormat="1" applyFont="1" applyBorder="1" applyAlignment="1">
      <alignment vertical="center" wrapText="1"/>
    </xf>
    <xf numFmtId="3" fontId="17" fillId="0" borderId="60" xfId="0" applyNumberFormat="1" applyFont="1" applyBorder="1" applyAlignment="1">
      <alignment vertical="center" wrapText="1"/>
    </xf>
    <xf numFmtId="3" fontId="17" fillId="0" borderId="45" xfId="0" applyNumberFormat="1" applyFont="1" applyBorder="1" applyAlignment="1">
      <alignment vertical="center" wrapText="1"/>
    </xf>
    <xf numFmtId="49" fontId="17" fillId="0" borderId="45" xfId="0" applyNumberFormat="1" applyFont="1" applyBorder="1" applyAlignment="1">
      <alignment horizontal="center" vertical="center" wrapText="1"/>
    </xf>
    <xf numFmtId="3" fontId="13" fillId="18" borderId="18" xfId="1" applyNumberFormat="1" applyFont="1" applyFill="1" applyBorder="1" applyAlignment="1">
      <alignment vertical="center" wrapText="1"/>
    </xf>
    <xf numFmtId="3" fontId="32" fillId="15" borderId="12" xfId="0" applyNumberFormat="1" applyFont="1" applyFill="1" applyBorder="1" applyAlignment="1">
      <alignment horizontal="center" vertical="center"/>
    </xf>
    <xf numFmtId="3" fontId="32" fillId="15" borderId="5" xfId="0" applyNumberFormat="1" applyFont="1" applyFill="1" applyBorder="1" applyAlignment="1">
      <alignment horizontal="center" vertical="center"/>
    </xf>
    <xf numFmtId="3" fontId="32" fillId="15" borderId="6" xfId="0" applyNumberFormat="1" applyFont="1" applyFill="1" applyBorder="1" applyAlignment="1">
      <alignment horizontal="center" vertical="center"/>
    </xf>
    <xf numFmtId="0" fontId="32" fillId="15" borderId="12" xfId="0" applyFont="1" applyFill="1" applyBorder="1" applyAlignment="1">
      <alignment horizontal="center" vertical="center" wrapText="1"/>
    </xf>
    <xf numFmtId="0" fontId="32" fillId="15" borderId="5" xfId="0" applyFont="1" applyFill="1" applyBorder="1" applyAlignment="1">
      <alignment horizontal="center" vertical="center" wrapText="1"/>
    </xf>
    <xf numFmtId="0" fontId="32" fillId="15" borderId="6" xfId="0" applyFont="1" applyFill="1" applyBorder="1" applyAlignment="1">
      <alignment horizontal="center" vertical="center" wrapText="1"/>
    </xf>
    <xf numFmtId="3" fontId="38" fillId="0" borderId="4" xfId="0" applyNumberFormat="1" applyFont="1" applyBorder="1" applyAlignment="1">
      <alignment horizontal="center" vertical="center"/>
    </xf>
    <xf numFmtId="3" fontId="38" fillId="0" borderId="8" xfId="0" applyNumberFormat="1" applyFont="1" applyBorder="1" applyAlignment="1">
      <alignment horizontal="center" vertical="center"/>
    </xf>
    <xf numFmtId="3" fontId="38" fillId="0" borderId="9" xfId="0" applyNumberFormat="1" applyFont="1" applyBorder="1" applyAlignment="1">
      <alignment horizontal="center" vertical="center"/>
    </xf>
    <xf numFmtId="3" fontId="38" fillId="0" borderId="31" xfId="0" applyNumberFormat="1" applyFont="1" applyBorder="1" applyAlignment="1">
      <alignment horizontal="center" vertical="center" wrapText="1"/>
    </xf>
    <xf numFmtId="3" fontId="38" fillId="0" borderId="37" xfId="0" applyNumberFormat="1" applyFont="1" applyBorder="1" applyAlignment="1">
      <alignment horizontal="center" vertical="center" wrapText="1"/>
    </xf>
    <xf numFmtId="3" fontId="38" fillId="0" borderId="32" xfId="0" applyNumberFormat="1" applyFont="1" applyBorder="1" applyAlignment="1">
      <alignment horizontal="center" vertical="center" wrapText="1"/>
    </xf>
    <xf numFmtId="3" fontId="29" fillId="0" borderId="30" xfId="0" applyNumberFormat="1" applyFont="1" applyBorder="1" applyAlignment="1">
      <alignment horizontal="center" vertical="center" wrapText="1"/>
    </xf>
    <xf numFmtId="3" fontId="29" fillId="0" borderId="1" xfId="0" applyNumberFormat="1" applyFont="1" applyBorder="1" applyAlignment="1">
      <alignment horizontal="center" vertical="center" wrapText="1"/>
    </xf>
    <xf numFmtId="3" fontId="29" fillId="0" borderId="16" xfId="0" applyNumberFormat="1" applyFont="1" applyBorder="1" applyAlignment="1">
      <alignment horizontal="center" vertical="center" wrapText="1"/>
    </xf>
    <xf numFmtId="3" fontId="29" fillId="0" borderId="31" xfId="0" applyNumberFormat="1" applyFont="1" applyBorder="1" applyAlignment="1">
      <alignment horizontal="center" vertical="center" wrapText="1"/>
    </xf>
    <xf numFmtId="3" fontId="29" fillId="0" borderId="37" xfId="0" applyNumberFormat="1" applyFont="1" applyBorder="1" applyAlignment="1">
      <alignment horizontal="center" vertical="center" wrapText="1"/>
    </xf>
    <xf numFmtId="3" fontId="29" fillId="0" borderId="32" xfId="0" applyNumberFormat="1" applyFont="1" applyBorder="1" applyAlignment="1">
      <alignment horizontal="center" vertical="center" wrapText="1"/>
    </xf>
    <xf numFmtId="0" fontId="14" fillId="5" borderId="2" xfId="1" applyFont="1" applyFill="1" applyBorder="1" applyAlignment="1">
      <alignment horizontal="center" vertical="center" wrapText="1"/>
    </xf>
    <xf numFmtId="0" fontId="14" fillId="5" borderId="13" xfId="1" applyFont="1" applyFill="1" applyBorder="1" applyAlignment="1">
      <alignment horizontal="center" vertical="center" wrapText="1"/>
    </xf>
    <xf numFmtId="49" fontId="13" fillId="4" borderId="31" xfId="0" applyNumberFormat="1" applyFont="1" applyFill="1" applyBorder="1" applyAlignment="1">
      <alignment horizontal="center" vertical="center"/>
    </xf>
    <xf numFmtId="49" fontId="13" fillId="4" borderId="32" xfId="0" applyNumberFormat="1" applyFont="1" applyFill="1" applyBorder="1" applyAlignment="1">
      <alignment horizontal="center" vertical="center"/>
    </xf>
    <xf numFmtId="49" fontId="16" fillId="0" borderId="31" xfId="0" applyNumberFormat="1" applyFont="1" applyBorder="1" applyAlignment="1">
      <alignment horizontal="center" vertical="center" wrapText="1"/>
    </xf>
    <xf numFmtId="49" fontId="16" fillId="0" borderId="32" xfId="0" applyNumberFormat="1" applyFont="1" applyBorder="1" applyAlignment="1">
      <alignment horizontal="center" vertical="center" wrapText="1"/>
    </xf>
    <xf numFmtId="1" fontId="23" fillId="5" borderId="12" xfId="1" applyNumberFormat="1" applyFont="1" applyFill="1" applyBorder="1" applyAlignment="1">
      <alignment horizontal="left" vertical="center" wrapText="1"/>
    </xf>
    <xf numFmtId="1" fontId="23" fillId="5" borderId="5" xfId="1" applyNumberFormat="1" applyFont="1" applyFill="1" applyBorder="1" applyAlignment="1">
      <alignment horizontal="left" vertical="center" wrapText="1"/>
    </xf>
    <xf numFmtId="49" fontId="21" fillId="0" borderId="31" xfId="0" applyNumberFormat="1" applyFont="1" applyBorder="1" applyAlignment="1">
      <alignment horizontal="center" vertical="center" wrapText="1"/>
    </xf>
    <xf numFmtId="49" fontId="21" fillId="0" borderId="32" xfId="0" applyNumberFormat="1" applyFont="1" applyBorder="1" applyAlignment="1">
      <alignment horizontal="center" vertical="center" wrapText="1"/>
    </xf>
    <xf numFmtId="49" fontId="13" fillId="0" borderId="12" xfId="0" applyNumberFormat="1" applyFont="1" applyBorder="1" applyAlignment="1">
      <alignment horizontal="center" vertical="center" wrapText="1"/>
    </xf>
    <xf numFmtId="49" fontId="13" fillId="0" borderId="5" xfId="0" applyNumberFormat="1" applyFont="1" applyBorder="1" applyAlignment="1">
      <alignment horizontal="center" vertical="center" wrapText="1"/>
    </xf>
    <xf numFmtId="49" fontId="13" fillId="0" borderId="6" xfId="0" applyNumberFormat="1" applyFont="1" applyBorder="1" applyAlignment="1">
      <alignment horizontal="center" vertical="center" wrapText="1"/>
    </xf>
    <xf numFmtId="49" fontId="13" fillId="4" borderId="31" xfId="0" applyNumberFormat="1" applyFont="1" applyFill="1" applyBorder="1" applyAlignment="1">
      <alignment horizontal="center" vertical="center" wrapText="1"/>
    </xf>
    <xf numFmtId="49" fontId="13" fillId="4" borderId="37" xfId="0" applyNumberFormat="1" applyFont="1" applyFill="1" applyBorder="1" applyAlignment="1">
      <alignment horizontal="center" vertical="center" wrapText="1"/>
    </xf>
    <xf numFmtId="49" fontId="13" fillId="4" borderId="32" xfId="0" applyNumberFormat="1" applyFont="1" applyFill="1" applyBorder="1" applyAlignment="1">
      <alignment horizontal="center" vertical="center" wrapText="1"/>
    </xf>
    <xf numFmtId="49" fontId="16" fillId="0" borderId="37" xfId="0" applyNumberFormat="1" applyFont="1" applyBorder="1" applyAlignment="1">
      <alignment horizontal="center" vertical="center" wrapText="1"/>
    </xf>
    <xf numFmtId="49" fontId="21" fillId="0" borderId="37" xfId="0" applyNumberFormat="1" applyFont="1" applyBorder="1" applyAlignment="1">
      <alignment horizontal="center" vertical="center" wrapText="1"/>
    </xf>
    <xf numFmtId="49" fontId="18" fillId="0" borderId="31" xfId="0" applyNumberFormat="1" applyFont="1" applyBorder="1" applyAlignment="1">
      <alignment horizontal="center" vertical="center" wrapText="1"/>
    </xf>
    <xf numFmtId="49" fontId="18" fillId="0" borderId="37" xfId="0" applyNumberFormat="1" applyFont="1" applyBorder="1" applyAlignment="1">
      <alignment horizontal="center" vertical="center" wrapText="1"/>
    </xf>
    <xf numFmtId="49" fontId="18" fillId="0" borderId="32" xfId="0" applyNumberFormat="1" applyFont="1" applyBorder="1" applyAlignment="1">
      <alignment horizontal="center" vertical="center" wrapText="1"/>
    </xf>
    <xf numFmtId="49" fontId="13" fillId="2" borderId="15" xfId="0" applyNumberFormat="1" applyFont="1" applyFill="1" applyBorder="1" applyAlignment="1">
      <alignment horizontal="center" vertical="center" wrapText="1"/>
    </xf>
    <xf numFmtId="49" fontId="13" fillId="2" borderId="19" xfId="0" applyNumberFormat="1" applyFont="1" applyFill="1" applyBorder="1" applyAlignment="1">
      <alignment horizontal="center" vertical="center" wrapText="1"/>
    </xf>
    <xf numFmtId="49" fontId="13" fillId="2" borderId="45" xfId="0" applyNumberFormat="1" applyFont="1" applyFill="1" applyBorder="1" applyAlignment="1">
      <alignment horizontal="center" vertical="center" wrapText="1"/>
    </xf>
    <xf numFmtId="4" fontId="14" fillId="14" borderId="12" xfId="0" applyNumberFormat="1" applyFont="1" applyFill="1" applyBorder="1" applyAlignment="1">
      <alignment horizontal="center" vertical="center" wrapText="1"/>
    </xf>
    <xf numFmtId="4" fontId="14" fillId="14" borderId="5" xfId="0" applyNumberFormat="1" applyFont="1" applyFill="1" applyBorder="1" applyAlignment="1">
      <alignment horizontal="center" vertical="center" wrapText="1"/>
    </xf>
    <xf numFmtId="4" fontId="14" fillId="14" borderId="6" xfId="0" applyNumberFormat="1" applyFont="1" applyFill="1" applyBorder="1" applyAlignment="1">
      <alignment horizontal="center" vertical="center" wrapText="1"/>
    </xf>
    <xf numFmtId="0" fontId="13" fillId="5" borderId="3" xfId="1" applyFont="1" applyFill="1" applyBorder="1" applyAlignment="1">
      <alignment horizontal="center" vertical="center" wrapText="1"/>
    </xf>
    <xf numFmtId="0" fontId="13" fillId="5" borderId="14" xfId="1" applyFont="1" applyFill="1" applyBorder="1" applyAlignment="1">
      <alignment horizontal="center" vertical="center" wrapText="1"/>
    </xf>
    <xf numFmtId="49" fontId="13" fillId="5" borderId="3" xfId="0" applyNumberFormat="1" applyFont="1" applyFill="1" applyBorder="1" applyAlignment="1">
      <alignment horizontal="center" vertical="center" wrapText="1"/>
    </xf>
    <xf numFmtId="49" fontId="13" fillId="5" borderId="14" xfId="0" applyNumberFormat="1" applyFont="1" applyFill="1" applyBorder="1" applyAlignment="1">
      <alignment horizontal="center" vertical="center" wrapText="1"/>
    </xf>
    <xf numFmtId="0" fontId="13" fillId="5" borderId="3" xfId="0" applyFont="1" applyFill="1" applyBorder="1" applyAlignment="1">
      <alignment horizontal="center" vertical="center" wrapText="1"/>
    </xf>
    <xf numFmtId="0" fontId="13" fillId="5" borderId="14" xfId="0" applyFont="1" applyFill="1" applyBorder="1" applyAlignment="1">
      <alignment horizontal="center" vertical="center" wrapText="1"/>
    </xf>
    <xf numFmtId="4" fontId="14" fillId="16" borderId="10" xfId="0" applyNumberFormat="1" applyFont="1" applyFill="1" applyBorder="1" applyAlignment="1">
      <alignment horizontal="center" vertical="center" wrapText="1"/>
    </xf>
    <xf numFmtId="4" fontId="14" fillId="16" borderId="7" xfId="0" applyNumberFormat="1" applyFont="1" applyFill="1" applyBorder="1" applyAlignment="1">
      <alignment horizontal="center" vertical="center" wrapText="1"/>
    </xf>
    <xf numFmtId="4" fontId="14" fillId="16" borderId="11" xfId="0" applyNumberFormat="1" applyFont="1" applyFill="1" applyBorder="1" applyAlignment="1">
      <alignment horizontal="center" vertical="center" wrapText="1"/>
    </xf>
    <xf numFmtId="0" fontId="14" fillId="5" borderId="2" xfId="0" applyFont="1" applyFill="1" applyBorder="1" applyAlignment="1">
      <alignment horizontal="center" vertical="center" wrapText="1"/>
    </xf>
    <xf numFmtId="0" fontId="14" fillId="5" borderId="13" xfId="0" applyFont="1" applyFill="1" applyBorder="1" applyAlignment="1">
      <alignment horizontal="center" vertical="center" wrapText="1"/>
    </xf>
    <xf numFmtId="4" fontId="13" fillId="9" borderId="2" xfId="0" applyNumberFormat="1" applyFont="1" applyFill="1" applyBorder="1" applyAlignment="1">
      <alignment horizontal="center" vertical="center" wrapText="1"/>
    </xf>
    <xf numFmtId="4" fontId="13" fillId="9" borderId="13" xfId="0" applyNumberFormat="1" applyFont="1" applyFill="1" applyBorder="1" applyAlignment="1">
      <alignment horizontal="center" vertical="center" wrapText="1"/>
    </xf>
    <xf numFmtId="0" fontId="14" fillId="16" borderId="2" xfId="1" applyFont="1" applyFill="1" applyBorder="1" applyAlignment="1">
      <alignment horizontal="center" vertical="center" wrapText="1"/>
    </xf>
    <xf numFmtId="0" fontId="14" fillId="16" borderId="13" xfId="1" applyFont="1" applyFill="1" applyBorder="1" applyAlignment="1">
      <alignment horizontal="center" vertical="center" wrapText="1"/>
    </xf>
    <xf numFmtId="3" fontId="14" fillId="4" borderId="3" xfId="1" applyNumberFormat="1" applyFont="1" applyFill="1" applyBorder="1" applyAlignment="1">
      <alignment horizontal="center" vertical="center" wrapText="1"/>
    </xf>
    <xf numFmtId="3" fontId="14" fillId="4" borderId="14" xfId="1" applyNumberFormat="1" applyFont="1" applyFill="1" applyBorder="1" applyAlignment="1">
      <alignment horizontal="center" vertical="center" wrapText="1"/>
    </xf>
    <xf numFmtId="3" fontId="14" fillId="4" borderId="12" xfId="1" applyNumberFormat="1" applyFont="1" applyFill="1" applyBorder="1" applyAlignment="1">
      <alignment horizontal="center" vertical="center" wrapText="1"/>
    </xf>
    <xf numFmtId="3" fontId="14" fillId="4" borderId="5" xfId="1" applyNumberFormat="1" applyFont="1" applyFill="1" applyBorder="1" applyAlignment="1">
      <alignment horizontal="center" vertical="center" wrapText="1"/>
    </xf>
    <xf numFmtId="3" fontId="14" fillId="14" borderId="12" xfId="0" applyNumberFormat="1" applyFont="1" applyFill="1" applyBorder="1" applyAlignment="1">
      <alignment horizontal="center" vertical="center" wrapText="1"/>
    </xf>
    <xf numFmtId="3" fontId="14" fillId="14" borderId="5" xfId="0" applyNumberFormat="1" applyFont="1" applyFill="1" applyBorder="1" applyAlignment="1">
      <alignment horizontal="center" vertical="center" wrapText="1"/>
    </xf>
    <xf numFmtId="3" fontId="14" fillId="13" borderId="12" xfId="0" applyNumberFormat="1" applyFont="1" applyFill="1" applyBorder="1" applyAlignment="1">
      <alignment horizontal="center" vertical="center" wrapText="1"/>
    </xf>
    <xf numFmtId="3" fontId="14" fillId="13" borderId="5" xfId="0" applyNumberFormat="1" applyFont="1" applyFill="1" applyBorder="1" applyAlignment="1">
      <alignment horizontal="center" vertical="center" wrapText="1"/>
    </xf>
    <xf numFmtId="3" fontId="14" fillId="13" borderId="6" xfId="0" applyNumberFormat="1" applyFont="1" applyFill="1" applyBorder="1" applyAlignment="1">
      <alignment horizontal="center" vertical="center" wrapText="1"/>
    </xf>
    <xf numFmtId="0" fontId="49" fillId="0" borderId="12" xfId="0" applyFont="1" applyBorder="1" applyAlignment="1">
      <alignment horizontal="center" vertical="center"/>
    </xf>
    <xf numFmtId="0" fontId="49" fillId="0" borderId="5" xfId="0" applyFont="1" applyBorder="1" applyAlignment="1">
      <alignment horizontal="center" vertical="center"/>
    </xf>
    <xf numFmtId="0" fontId="49" fillId="0" borderId="6" xfId="0" applyFont="1" applyBorder="1" applyAlignment="1">
      <alignment horizontal="center" vertical="center"/>
    </xf>
    <xf numFmtId="166" fontId="14" fillId="5" borderId="3" xfId="0" applyNumberFormat="1" applyFont="1" applyFill="1" applyBorder="1" applyAlignment="1">
      <alignment horizontal="center" vertical="center" wrapText="1"/>
    </xf>
    <xf numFmtId="166" fontId="14" fillId="5" borderId="14" xfId="0" applyNumberFormat="1" applyFont="1" applyFill="1" applyBorder="1" applyAlignment="1">
      <alignment horizontal="center" vertical="center" wrapText="1"/>
    </xf>
    <xf numFmtId="166" fontId="14" fillId="5" borderId="2" xfId="0" applyNumberFormat="1" applyFont="1" applyFill="1" applyBorder="1" applyAlignment="1">
      <alignment horizontal="center" vertical="center" wrapText="1"/>
    </xf>
    <xf numFmtId="166" fontId="14" fillId="5" borderId="13" xfId="0" applyNumberFormat="1" applyFont="1" applyFill="1" applyBorder="1" applyAlignment="1">
      <alignment horizontal="center" vertical="center" wrapText="1"/>
    </xf>
    <xf numFmtId="0" fontId="14" fillId="5" borderId="3" xfId="1" applyFont="1" applyFill="1" applyBorder="1" applyAlignment="1">
      <alignment horizontal="center" vertical="center" wrapText="1"/>
    </xf>
    <xf numFmtId="0" fontId="14" fillId="5" borderId="14" xfId="1" applyFont="1" applyFill="1" applyBorder="1" applyAlignment="1">
      <alignment horizontal="center" vertical="center" wrapText="1"/>
    </xf>
    <xf numFmtId="0" fontId="13" fillId="2" borderId="0" xfId="0" applyFont="1" applyFill="1"/>
  </cellXfs>
  <cellStyles count="145">
    <cellStyle name="Čárka 2" xfId="9" xr:uid="{00000000-0005-0000-0000-000000000000}"/>
    <cellStyle name="Čárka 2 2" xfId="14" xr:uid="{00000000-0005-0000-0000-000001000000}"/>
    <cellStyle name="Čárka 2 2 2" xfId="23" xr:uid="{00000000-0005-0000-0000-000002000000}"/>
    <cellStyle name="Čárka 2 2 2 2" xfId="41" xr:uid="{00000000-0005-0000-0000-000003000000}"/>
    <cellStyle name="Čárka 2 2 2 2 2" xfId="74" xr:uid="{44E9848D-3538-4296-8A58-4563FF8B4859}"/>
    <cellStyle name="Čárka 2 2 2 2 2 2" xfId="141" xr:uid="{E2A500A6-C933-4709-9D2F-ECA9336F72B9}"/>
    <cellStyle name="Čárka 2 2 2 2 3" xfId="108" xr:uid="{B103A2CA-5996-4679-9D89-E36595BCC027}"/>
    <cellStyle name="Čárka 2 2 2 3" xfId="58" xr:uid="{A82E48F5-25A0-4D6F-8DE2-887E82A7D31F}"/>
    <cellStyle name="Čárka 2 2 2 3 2" xfId="125" xr:uid="{4788322B-566F-4027-A5D9-985F9A241D65}"/>
    <cellStyle name="Čárka 2 2 2 4" xfId="92" xr:uid="{EAF445BE-2FC8-48E5-B596-8BA746B2B568}"/>
    <cellStyle name="Čárka 2 2 3" xfId="32" xr:uid="{00000000-0005-0000-0000-000004000000}"/>
    <cellStyle name="Čárka 2 2 3 2" xfId="66" xr:uid="{192EBA57-ABFE-47BB-9037-2D9F36A2F43D}"/>
    <cellStyle name="Čárka 2 2 3 2 2" xfId="133" xr:uid="{0E97E724-A276-4CBE-B22D-4ACF84D9AE70}"/>
    <cellStyle name="Čárka 2 2 3 3" xfId="100" xr:uid="{E24B2C89-B84D-4BF2-A126-5D4E894667A7}"/>
    <cellStyle name="Čárka 2 2 4" xfId="50" xr:uid="{E5A7FAB2-8F5E-4897-9F3F-D3EFA96B4776}"/>
    <cellStyle name="Čárka 2 2 4 2" xfId="117" xr:uid="{02988991-E23F-4FB7-9E1F-FB866A543BB4}"/>
    <cellStyle name="Čárka 2 2 5" xfId="84" xr:uid="{7AB232D9-CF94-486F-B8D4-94890E7EEE24}"/>
    <cellStyle name="Čárka 2 3" xfId="8" xr:uid="{00000000-0005-0000-0000-000005000000}"/>
    <cellStyle name="Čárka 2 3 2" xfId="18" xr:uid="{00000000-0005-0000-0000-000006000000}"/>
    <cellStyle name="Čárka 2 3 2 2" xfId="36" xr:uid="{00000000-0005-0000-0000-000007000000}"/>
    <cellStyle name="Čárka 2 3 3" xfId="27" xr:uid="{00000000-0005-0000-0000-000008000000}"/>
    <cellStyle name="Čárka 2 4" xfId="19" xr:uid="{00000000-0005-0000-0000-000009000000}"/>
    <cellStyle name="Čárka 2 4 2" xfId="37" xr:uid="{00000000-0005-0000-0000-00000A000000}"/>
    <cellStyle name="Čárka 2 4 2 2" xfId="70" xr:uid="{544430E7-78B5-4A56-A3F0-4CD36E0DE0C0}"/>
    <cellStyle name="Čárka 2 4 2 2 2" xfId="137" xr:uid="{B2ED92A2-9D0C-4FDC-A9D4-5A6D856334E5}"/>
    <cellStyle name="Čárka 2 4 2 3" xfId="104" xr:uid="{CF2BF6AB-1FA2-4880-A934-DE9E53167C5D}"/>
    <cellStyle name="Čárka 2 4 3" xfId="54" xr:uid="{C00A516B-F5E0-46CC-A68B-561FE30F4D8B}"/>
    <cellStyle name="Čárka 2 4 3 2" xfId="121" xr:uid="{AF2AA504-5CB7-4E8C-82DB-02BDE7F3DA6F}"/>
    <cellStyle name="Čárka 2 4 4" xfId="88" xr:uid="{CDFE5EDF-841A-4ED3-A0F6-25EDE27C5A8C}"/>
    <cellStyle name="Čárka 2 5" xfId="28" xr:uid="{00000000-0005-0000-0000-00000B000000}"/>
    <cellStyle name="Čárka 2 5 2" xfId="62" xr:uid="{DA928A25-E6AC-4C5C-B31D-52AF61257481}"/>
    <cellStyle name="Čárka 2 5 2 2" xfId="129" xr:uid="{EF15E229-49F0-4988-84C5-36A0A6120EA7}"/>
    <cellStyle name="Čárka 2 5 3" xfId="96" xr:uid="{6CDEFCEB-16E6-4676-B223-93A4A019AE37}"/>
    <cellStyle name="Čárka 2 6" xfId="46" xr:uid="{60F0E4F2-8794-4757-BADA-464E5D714713}"/>
    <cellStyle name="Čárka 2 6 2" xfId="113" xr:uid="{BFA44EC4-3E40-4314-8BDD-EEDB75288EF9}"/>
    <cellStyle name="Čárka 2 7" xfId="80" xr:uid="{00556ED6-CBB4-41A5-A337-8384B07FB5AF}"/>
    <cellStyle name="Header" xfId="11" xr:uid="{00000000-0005-0000-0000-00000C000000}"/>
    <cellStyle name="Normální" xfId="0" builtinId="0"/>
    <cellStyle name="Normální 10" xfId="3" xr:uid="{00000000-0005-0000-0000-00000E000000}"/>
    <cellStyle name="Normální 10 2" xfId="12" xr:uid="{00000000-0005-0000-0000-00000F000000}"/>
    <cellStyle name="Normální 10 2 2" xfId="21" xr:uid="{00000000-0005-0000-0000-000010000000}"/>
    <cellStyle name="Normální 10 2 2 2" xfId="39" xr:uid="{00000000-0005-0000-0000-000011000000}"/>
    <cellStyle name="Normální 10 2 2 2 2" xfId="72" xr:uid="{72E749C9-6B03-4B27-A25D-17810209ACE1}"/>
    <cellStyle name="Normální 10 2 2 2 2 2" xfId="139" xr:uid="{445E1D1F-5CF1-43DF-9F1D-6C99DF092389}"/>
    <cellStyle name="Normální 10 2 2 2 3" xfId="106" xr:uid="{B58A53DA-D597-4EDE-955A-036D11DC38B0}"/>
    <cellStyle name="Normální 10 2 2 3" xfId="56" xr:uid="{B52FF832-B6FA-4BC0-9B09-C65906DDC91C}"/>
    <cellStyle name="Normální 10 2 2 3 2" xfId="123" xr:uid="{5599C756-EA25-4FFB-95F6-E1DDE2653A45}"/>
    <cellStyle name="Normální 10 2 2 4" xfId="90" xr:uid="{6878F149-A487-4EC6-8491-6BDACAFBD257}"/>
    <cellStyle name="Normální 10 2 3" xfId="30" xr:uid="{00000000-0005-0000-0000-000012000000}"/>
    <cellStyle name="Normální 10 2 3 2" xfId="64" xr:uid="{5A509008-965B-4E54-9CEC-2800BD40F986}"/>
    <cellStyle name="Normální 10 2 3 2 2" xfId="131" xr:uid="{1D0E0860-455E-4A9C-9212-B660DC15594A}"/>
    <cellStyle name="Normální 10 2 3 3" xfId="98" xr:uid="{AD47C564-8D16-436C-929D-6D623FA974D3}"/>
    <cellStyle name="Normální 10 2 4" xfId="48" xr:uid="{D993096D-585B-4C2C-B887-6C4B1B43733E}"/>
    <cellStyle name="Normální 10 2 4 2" xfId="115" xr:uid="{6CD955BF-08AE-4DB9-8722-6CA7A4F9AACF}"/>
    <cellStyle name="Normální 10 2 5" xfId="82" xr:uid="{99923D53-F602-49B7-912E-C375C08124F6}"/>
    <cellStyle name="Normální 10 3" xfId="16" xr:uid="{00000000-0005-0000-0000-000013000000}"/>
    <cellStyle name="Normální 10 3 2" xfId="34" xr:uid="{00000000-0005-0000-0000-000014000000}"/>
    <cellStyle name="Normální 10 3 2 2" xfId="68" xr:uid="{4799B077-6A1B-4AAF-8D57-86FB4908C525}"/>
    <cellStyle name="Normální 10 3 2 2 2" xfId="135" xr:uid="{46BF29B6-429F-461E-8123-011C2C55918D}"/>
    <cellStyle name="Normální 10 3 2 3" xfId="102" xr:uid="{D4C12F25-F032-43D0-8C1F-35F6C5195193}"/>
    <cellStyle name="Normální 10 3 3" xfId="52" xr:uid="{86B4D4DA-A102-4240-856B-3279AFEA86AE}"/>
    <cellStyle name="Normální 10 3 3 2" xfId="119" xr:uid="{B51F67E9-2F77-41A6-B36E-61F6BF8DA104}"/>
    <cellStyle name="Normální 10 3 4" xfId="86" xr:uid="{FC5121B1-3E08-4643-A514-68C9B0C0E349}"/>
    <cellStyle name="Normální 10 4" xfId="25" xr:uid="{00000000-0005-0000-0000-000015000000}"/>
    <cellStyle name="Normální 10 4 2" xfId="60" xr:uid="{97F2467B-5ED9-4B1F-B5C1-4A4A052B168B}"/>
    <cellStyle name="Normální 10 4 2 2" xfId="127" xr:uid="{EFE93B02-C9BB-4A6C-BBBF-ACF06422D185}"/>
    <cellStyle name="Normální 10 4 3" xfId="94" xr:uid="{AEA5D094-02FC-44CC-A7ED-362AA7E4974E}"/>
    <cellStyle name="Normální 10 5" xfId="44" xr:uid="{5D397481-A434-418E-A25B-55762DE4DC9B}"/>
    <cellStyle name="Normální 10 5 2" xfId="111" xr:uid="{ECCDA5DA-0E27-42E8-9E32-B10F6CB12391}"/>
    <cellStyle name="Normální 10 6" xfId="78" xr:uid="{D790821A-4FD1-491E-B53F-26C43820DADE}"/>
    <cellStyle name="Normální 2" xfId="2" xr:uid="{00000000-0005-0000-0000-000016000000}"/>
    <cellStyle name="Normální 2 123 2" xfId="6" xr:uid="{00000000-0005-0000-0000-000017000000}"/>
    <cellStyle name="Normální 2 123 2 2" xfId="13" xr:uid="{00000000-0005-0000-0000-000018000000}"/>
    <cellStyle name="Normální 2 123 2 2 2" xfId="22" xr:uid="{00000000-0005-0000-0000-000019000000}"/>
    <cellStyle name="Normální 2 123 2 2 2 2" xfId="40" xr:uid="{00000000-0005-0000-0000-00001A000000}"/>
    <cellStyle name="Normální 2 123 2 2 2 2 2" xfId="73" xr:uid="{F48B601A-33BB-4EA8-9EDF-63393FC89BF8}"/>
    <cellStyle name="Normální 2 123 2 2 2 2 2 2" xfId="140" xr:uid="{B1C9C804-3F59-4457-8E83-C042C580A2FB}"/>
    <cellStyle name="Normální 2 123 2 2 2 2 3" xfId="107" xr:uid="{45F9DC34-17BA-4FF4-B3AB-BC12697D668D}"/>
    <cellStyle name="Normální 2 123 2 2 2 3" xfId="57" xr:uid="{A63647EC-2C11-49C4-A33E-D5EE88A94018}"/>
    <cellStyle name="Normální 2 123 2 2 2 3 2" xfId="124" xr:uid="{16BE3337-EB18-4F19-83CC-26639A4D9ACF}"/>
    <cellStyle name="Normální 2 123 2 2 2 4" xfId="91" xr:uid="{2010975C-F785-4682-9751-D8DEBFF3F9A3}"/>
    <cellStyle name="Normální 2 123 2 2 3" xfId="31" xr:uid="{00000000-0005-0000-0000-00001B000000}"/>
    <cellStyle name="Normální 2 123 2 2 3 2" xfId="65" xr:uid="{5F67612B-7C01-4F4C-93DF-6A97101C16AF}"/>
    <cellStyle name="Normální 2 123 2 2 3 2 2" xfId="132" xr:uid="{17977DC4-66FA-4874-8FF5-4FF1FF650B96}"/>
    <cellStyle name="Normální 2 123 2 2 3 3" xfId="99" xr:uid="{A6BB043E-A5FA-4803-AB40-E86BC52EB918}"/>
    <cellStyle name="Normální 2 123 2 2 4" xfId="49" xr:uid="{759FC34F-5598-43AE-958F-3A8BC6842570}"/>
    <cellStyle name="Normální 2 123 2 2 4 2" xfId="116" xr:uid="{2AA9E090-2368-4961-A18F-3C91EF34E355}"/>
    <cellStyle name="Normální 2 123 2 2 5" xfId="83" xr:uid="{584441CC-839A-419B-B688-36F1642C4745}"/>
    <cellStyle name="Normální 2 123 2 3" xfId="17" xr:uid="{00000000-0005-0000-0000-00001C000000}"/>
    <cellStyle name="Normální 2 123 2 3 2" xfId="35" xr:uid="{00000000-0005-0000-0000-00001D000000}"/>
    <cellStyle name="Normální 2 123 2 3 2 2" xfId="69" xr:uid="{B6C34817-91CB-4721-8746-DB10F53809DF}"/>
    <cellStyle name="Normální 2 123 2 3 2 2 2" xfId="136" xr:uid="{3F3FABC5-A319-404B-906E-FC301D9BEF46}"/>
    <cellStyle name="Normální 2 123 2 3 2 3" xfId="103" xr:uid="{BD825C6D-E3BB-4A28-A043-C57C47807012}"/>
    <cellStyle name="Normální 2 123 2 3 3" xfId="53" xr:uid="{B08D4741-358D-4FAA-BDAC-F0AEA506F008}"/>
    <cellStyle name="Normální 2 123 2 3 3 2" xfId="120" xr:uid="{7BE0112A-A7DD-4F25-AC0C-8155A605E19A}"/>
    <cellStyle name="Normální 2 123 2 3 4" xfId="87" xr:uid="{BECA2038-FF47-44BC-9E99-EF4915F261F0}"/>
    <cellStyle name="Normální 2 123 2 4" xfId="26" xr:uid="{00000000-0005-0000-0000-00001E000000}"/>
    <cellStyle name="Normální 2 123 2 4 2" xfId="61" xr:uid="{6C1C9C3A-B77D-4A44-B883-DA678C0D6479}"/>
    <cellStyle name="Normální 2 123 2 4 2 2" xfId="128" xr:uid="{58A1724E-29C2-4FDA-B338-2841BC5BFC1D}"/>
    <cellStyle name="Normální 2 123 2 4 3" xfId="95" xr:uid="{0B7BC66A-4F32-42C8-AD68-D01845288671}"/>
    <cellStyle name="Normální 2 123 2 5" xfId="45" xr:uid="{29C4E8F2-3620-4FC9-AC89-295D266A4722}"/>
    <cellStyle name="Normální 2 123 2 5 2" xfId="112" xr:uid="{B44B686D-BF56-4F92-88F3-C8C5657D10A6}"/>
    <cellStyle name="Normální 2 123 2 6" xfId="79" xr:uid="{31216156-B265-4201-8C1D-9AEB3B97232D}"/>
    <cellStyle name="Normální 2 2" xfId="7" xr:uid="{00000000-0005-0000-0000-00001F000000}"/>
    <cellStyle name="Normální 3" xfId="10" xr:uid="{00000000-0005-0000-0000-000020000000}"/>
    <cellStyle name="Normální 3 2" xfId="15" xr:uid="{00000000-0005-0000-0000-000021000000}"/>
    <cellStyle name="Normální 3 2 2" xfId="24" xr:uid="{00000000-0005-0000-0000-000022000000}"/>
    <cellStyle name="Normální 3 2 2 2" xfId="42" xr:uid="{00000000-0005-0000-0000-000023000000}"/>
    <cellStyle name="Normální 3 2 2 2 2" xfId="75" xr:uid="{0E7B70DC-6A9D-4C8C-909B-F067A6A5D190}"/>
    <cellStyle name="Normální 3 2 2 2 2 2" xfId="142" xr:uid="{201752EE-91D5-4665-9AAE-DF221AB9E34A}"/>
    <cellStyle name="Normální 3 2 2 2 3" xfId="109" xr:uid="{D26C3F79-442E-49D5-95CB-E6B2D59515A0}"/>
    <cellStyle name="Normální 3 2 2 3" xfId="59" xr:uid="{AFAC291A-A5A9-4650-88ED-C27DE232F9D0}"/>
    <cellStyle name="Normální 3 2 2 3 2" xfId="126" xr:uid="{4E5D72CD-7A79-44B9-9EA7-F3DFA2F82CDD}"/>
    <cellStyle name="Normální 3 2 2 4" xfId="93" xr:uid="{A88D5D68-209B-4050-8533-D7AB9CD21B30}"/>
    <cellStyle name="Normální 3 2 3" xfId="33" xr:uid="{00000000-0005-0000-0000-000024000000}"/>
    <cellStyle name="Normální 3 2 3 2" xfId="67" xr:uid="{311DC0C5-C513-4BDC-8204-D8717997C1B6}"/>
    <cellStyle name="Normální 3 2 3 2 2" xfId="134" xr:uid="{5938EF97-4265-488C-9301-C16D4C5980CA}"/>
    <cellStyle name="Normální 3 2 3 3" xfId="101" xr:uid="{B63D6AFB-3DFA-4D73-95AC-EAD9F105FD74}"/>
    <cellStyle name="Normální 3 2 4" xfId="51" xr:uid="{C9890856-02B6-437E-A6E6-EC263C85D6FE}"/>
    <cellStyle name="Normální 3 2 4 2" xfId="118" xr:uid="{66340A22-2FC8-462F-B336-F6C672C815D7}"/>
    <cellStyle name="Normální 3 2 5" xfId="85" xr:uid="{389425FA-13FF-4146-9415-B5E39D5F1B16}"/>
    <cellStyle name="Normální 3 3" xfId="20" xr:uid="{00000000-0005-0000-0000-000025000000}"/>
    <cellStyle name="Normální 3 3 2" xfId="38" xr:uid="{00000000-0005-0000-0000-000026000000}"/>
    <cellStyle name="Normální 3 3 2 2" xfId="71" xr:uid="{DCD8B975-2D25-499F-8F7F-A36F786CE0B7}"/>
    <cellStyle name="Normální 3 3 2 2 2" xfId="138" xr:uid="{DC34AB3B-185F-4A5B-A708-59D18C669CB2}"/>
    <cellStyle name="Normální 3 3 2 3" xfId="105" xr:uid="{64C858A1-4807-4BBC-97C8-F1689C3C1693}"/>
    <cellStyle name="Normální 3 3 3" xfId="55" xr:uid="{C0B4ED3C-8E79-4D16-B04C-BFFA1DA2F4B5}"/>
    <cellStyle name="Normální 3 3 3 2" xfId="122" xr:uid="{C892BD0C-D0F5-4A64-917E-40A67DA3A262}"/>
    <cellStyle name="Normální 3 3 4" xfId="89" xr:uid="{65883ADF-9D7E-4232-8DAC-47EC271B2460}"/>
    <cellStyle name="Normální 3 4" xfId="29" xr:uid="{00000000-0005-0000-0000-000027000000}"/>
    <cellStyle name="Normální 3 4 2" xfId="63" xr:uid="{B75A4076-9737-4DA6-958F-A33F04605F24}"/>
    <cellStyle name="Normální 3 4 2 2" xfId="130" xr:uid="{C8B372C5-3DC5-4ADE-AB4E-86EBCBD076EE}"/>
    <cellStyle name="Normální 3 4 3" xfId="97" xr:uid="{602302FB-66A0-4B98-A582-20B5F5C38B96}"/>
    <cellStyle name="Normální 3 5" xfId="47" xr:uid="{EAC8063D-68C3-4046-B156-9768E8CD9B71}"/>
    <cellStyle name="Normální 3 5 2" xfId="114" xr:uid="{90599998-2C6E-44DF-A20D-9C3CF4238D42}"/>
    <cellStyle name="Normální 3 6" xfId="81" xr:uid="{2967348F-5301-428A-9A53-C23ABD73E893}"/>
    <cellStyle name="Normální 31" xfId="5" xr:uid="{00000000-0005-0000-0000-000028000000}"/>
    <cellStyle name="Normální 4" xfId="43" xr:uid="{45613E39-8EAE-40DA-A4ED-C10C60E45385}"/>
    <cellStyle name="Normální 4 2" xfId="76" xr:uid="{6D6B899F-02B6-4FCA-A479-EC77D28D9BBC}"/>
    <cellStyle name="Normální 4 2 2" xfId="143" xr:uid="{12CF0643-E596-485C-BE2D-F560656FFD3C}"/>
    <cellStyle name="Normální 4 3" xfId="110" xr:uid="{582C6F1F-37B0-45D8-94C8-641A63E0CDDE}"/>
    <cellStyle name="Normální 5" xfId="4" xr:uid="{00000000-0005-0000-0000-000029000000}"/>
    <cellStyle name="Normální 6" xfId="77" xr:uid="{91BD07F0-C91F-490A-A279-F72E6F14928D}"/>
    <cellStyle name="Normální 6 2" xfId="144" xr:uid="{762B632B-0F57-47F7-97AC-6A3844390467}"/>
    <cellStyle name="normální_List1" xfId="1" xr:uid="{00000000-0005-0000-0000-00002B000000}"/>
  </cellStyles>
  <dxfs count="0"/>
  <tableStyles count="0" defaultTableStyle="TableStyleMedium2" defaultPivotStyle="PivotStyleLight16"/>
  <colors>
    <mruColors>
      <color rgb="FF0000FB"/>
      <color rgb="FFFFFFCC"/>
      <color rgb="FFFFFF66"/>
      <color rgb="FFFFFF99"/>
      <color rgb="FFE4DFEC"/>
      <color rgb="FFF385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2670EA-993D-4B2C-AC58-B0074C08E99A}">
  <sheetPr>
    <tabColor rgb="FFFFFF00"/>
    <pageSetUpPr fitToPage="1"/>
  </sheetPr>
  <dimension ref="A1:AF576"/>
  <sheetViews>
    <sheetView tabSelected="1" zoomScale="80" zoomScaleNormal="80" workbookViewId="0">
      <pane xSplit="3" ySplit="4" topLeftCell="H5" activePane="bottomRight" state="frozen"/>
      <selection pane="topRight" activeCell="D1" sqref="D1"/>
      <selection pane="bottomLeft" activeCell="A5" sqref="A5"/>
      <selection pane="bottomRight" activeCell="C2" sqref="C2:C3"/>
    </sheetView>
  </sheetViews>
  <sheetFormatPr defaultColWidth="9.109375" defaultRowHeight="15.6" outlineLevelRow="1" x14ac:dyDescent="0.3"/>
  <cols>
    <col min="1" max="1" width="15" style="1025" customWidth="1"/>
    <col min="2" max="2" width="8.6640625" style="422" customWidth="1"/>
    <col min="3" max="3" width="60.5546875" style="356" customWidth="1"/>
    <col min="4" max="4" width="32.5546875" style="335" customWidth="1"/>
    <col min="5" max="6" width="39.6640625" style="422" customWidth="1"/>
    <col min="7" max="7" width="14.88671875" style="422" customWidth="1"/>
    <col min="8" max="8" width="13.44140625" style="421" customWidth="1"/>
    <col min="9" max="9" width="12" style="421" customWidth="1"/>
    <col min="10" max="10" width="12.33203125" style="421" customWidth="1"/>
    <col min="11" max="12" width="10.5546875" style="421" customWidth="1"/>
    <col min="13" max="13" width="12.33203125" style="421" customWidth="1"/>
    <col min="14" max="14" width="10.5546875" style="421" customWidth="1"/>
    <col min="15" max="15" width="14" style="421" customWidth="1"/>
    <col min="16" max="16" width="10.5546875" style="422" customWidth="1"/>
    <col min="17" max="20" width="12.109375" style="422" customWidth="1"/>
    <col min="21" max="21" width="15" style="422" customWidth="1"/>
    <col min="22" max="24" width="12.109375" style="422" customWidth="1"/>
    <col min="25" max="25" width="13.33203125" style="422" customWidth="1"/>
    <col min="26" max="26" width="78" style="422" customWidth="1"/>
    <col min="27" max="27" width="16" style="422" customWidth="1"/>
    <col min="28" max="28" width="11.6640625" style="422" customWidth="1"/>
    <col min="29" max="29" width="10.44140625" style="422" customWidth="1"/>
    <col min="30" max="30" width="8.33203125" style="422" customWidth="1"/>
    <col min="31" max="31" width="14.109375" style="422" customWidth="1"/>
    <col min="32" max="32" width="9.33203125" style="422" customWidth="1"/>
    <col min="33" max="16384" width="9.109375" style="422"/>
  </cols>
  <sheetData>
    <row r="1" spans="1:32" ht="30.6" thickBot="1" x14ac:dyDescent="0.55000000000000004">
      <c r="A1" s="940"/>
      <c r="B1" s="941"/>
      <c r="C1" s="2828" t="s">
        <v>1977</v>
      </c>
      <c r="D1" s="334" t="s">
        <v>1642</v>
      </c>
      <c r="E1" s="942"/>
      <c r="F1" s="942"/>
      <c r="G1" s="941"/>
      <c r="H1" s="943"/>
      <c r="I1" s="943"/>
      <c r="J1" s="943"/>
      <c r="K1" s="943"/>
      <c r="L1" s="943"/>
      <c r="M1" s="943"/>
      <c r="N1" s="943"/>
      <c r="O1" s="943"/>
      <c r="P1" s="941"/>
      <c r="Q1" s="941"/>
      <c r="R1" s="941"/>
      <c r="S1" s="941"/>
      <c r="T1" s="941"/>
      <c r="U1" s="417"/>
      <c r="V1" s="417"/>
      <c r="W1" s="417"/>
      <c r="X1" s="944"/>
      <c r="Y1" s="944"/>
      <c r="Z1" s="945"/>
      <c r="AA1" s="941"/>
      <c r="AB1" s="946" t="s">
        <v>1738</v>
      </c>
      <c r="AC1" s="941"/>
      <c r="AD1" s="941" t="s">
        <v>57</v>
      </c>
      <c r="AE1" s="940"/>
      <c r="AF1" s="940"/>
    </row>
    <row r="2" spans="1:32" ht="41.25" customHeight="1" thickBot="1" x14ac:dyDescent="0.3">
      <c r="A2" s="2822" t="s">
        <v>224</v>
      </c>
      <c r="B2" s="2824" t="s">
        <v>0</v>
      </c>
      <c r="C2" s="2826" t="s">
        <v>1</v>
      </c>
      <c r="D2" s="2799" t="s">
        <v>115</v>
      </c>
      <c r="E2" s="2768" t="s">
        <v>1372</v>
      </c>
      <c r="F2" s="2768" t="s">
        <v>1373</v>
      </c>
      <c r="G2" s="2808" t="s">
        <v>2</v>
      </c>
      <c r="H2" s="2810" t="s">
        <v>1374</v>
      </c>
      <c r="I2" s="2812" t="s">
        <v>1976</v>
      </c>
      <c r="J2" s="2813"/>
      <c r="K2" s="2814" t="s">
        <v>1222</v>
      </c>
      <c r="L2" s="2815"/>
      <c r="M2" s="2816" t="s">
        <v>1375</v>
      </c>
      <c r="N2" s="2817"/>
      <c r="O2" s="2818"/>
      <c r="P2" s="2806" t="s">
        <v>1220</v>
      </c>
      <c r="Q2" s="2806" t="s">
        <v>1221</v>
      </c>
      <c r="R2" s="2801" t="s">
        <v>3</v>
      </c>
      <c r="S2" s="2802"/>
      <c r="T2" s="2803"/>
      <c r="U2" s="2792" t="s">
        <v>149</v>
      </c>
      <c r="V2" s="2793"/>
      <c r="W2" s="2793"/>
      <c r="X2" s="2793"/>
      <c r="Y2" s="2794"/>
      <c r="Z2" s="2804" t="s">
        <v>1962</v>
      </c>
      <c r="AA2" s="2799" t="s">
        <v>134</v>
      </c>
      <c r="AB2" s="2797" t="s">
        <v>114</v>
      </c>
      <c r="AC2" s="2797" t="s">
        <v>76</v>
      </c>
      <c r="AD2" s="2797" t="s">
        <v>1649</v>
      </c>
      <c r="AE2" s="2795" t="s">
        <v>165</v>
      </c>
      <c r="AF2" s="2795" t="s">
        <v>658</v>
      </c>
    </row>
    <row r="3" spans="1:32" ht="93.75" customHeight="1" thickBot="1" x14ac:dyDescent="0.3">
      <c r="A3" s="2823"/>
      <c r="B3" s="2825"/>
      <c r="C3" s="2827"/>
      <c r="D3" s="2800"/>
      <c r="E3" s="2769"/>
      <c r="F3" s="2769"/>
      <c r="G3" s="2809"/>
      <c r="H3" s="2811"/>
      <c r="I3" s="373" t="s">
        <v>1217</v>
      </c>
      <c r="J3" s="373" t="s">
        <v>1218</v>
      </c>
      <c r="K3" s="374" t="s">
        <v>1217</v>
      </c>
      <c r="L3" s="388" t="s">
        <v>1218</v>
      </c>
      <c r="M3" s="172" t="s">
        <v>1647</v>
      </c>
      <c r="N3" s="282" t="s">
        <v>1376</v>
      </c>
      <c r="O3" s="172" t="s">
        <v>1648</v>
      </c>
      <c r="P3" s="2807"/>
      <c r="Q3" s="2807"/>
      <c r="R3" s="198" t="s">
        <v>101</v>
      </c>
      <c r="S3" s="198" t="s">
        <v>138</v>
      </c>
      <c r="T3" s="199" t="s">
        <v>100</v>
      </c>
      <c r="U3" s="200" t="s">
        <v>87</v>
      </c>
      <c r="V3" s="205" t="s">
        <v>1377</v>
      </c>
      <c r="W3" s="205" t="s">
        <v>1815</v>
      </c>
      <c r="X3" s="196" t="s">
        <v>1222</v>
      </c>
      <c r="Y3" s="196" t="s">
        <v>1968</v>
      </c>
      <c r="Z3" s="2805"/>
      <c r="AA3" s="2800"/>
      <c r="AB3" s="2798"/>
      <c r="AC3" s="2798"/>
      <c r="AD3" s="2798"/>
      <c r="AE3" s="2796"/>
      <c r="AF3" s="2796"/>
    </row>
    <row r="4" spans="1:32" ht="16.2" thickBot="1" x14ac:dyDescent="0.3">
      <c r="A4" s="76"/>
      <c r="B4" s="76"/>
      <c r="C4" s="380" t="s">
        <v>57</v>
      </c>
      <c r="D4" s="2"/>
      <c r="E4" s="164" t="s">
        <v>57</v>
      </c>
      <c r="F4" s="164" t="s">
        <v>57</v>
      </c>
      <c r="G4" s="73"/>
      <c r="H4" s="213"/>
      <c r="I4" s="213"/>
      <c r="J4" s="213"/>
      <c r="K4" s="375"/>
      <c r="L4" s="409"/>
      <c r="M4" s="153"/>
      <c r="N4" s="87"/>
      <c r="O4" s="87"/>
      <c r="P4" s="74" t="s">
        <v>57</v>
      </c>
      <c r="Q4" s="74"/>
      <c r="R4" s="155"/>
      <c r="S4" s="154"/>
      <c r="T4" s="155"/>
      <c r="U4" s="156"/>
      <c r="V4" s="376"/>
      <c r="W4" s="376"/>
      <c r="X4" s="381"/>
      <c r="Y4" s="184"/>
      <c r="Z4" s="416"/>
      <c r="AA4" s="77"/>
      <c r="AB4" s="157"/>
      <c r="AC4" s="158"/>
      <c r="AD4" s="227"/>
      <c r="AE4" s="73"/>
      <c r="AF4" s="327"/>
    </row>
    <row r="5" spans="1:32" ht="26.4" outlineLevel="1" x14ac:dyDescent="0.25">
      <c r="A5" s="446" t="s">
        <v>285</v>
      </c>
      <c r="B5" s="447" t="s">
        <v>296</v>
      </c>
      <c r="C5" s="687" t="s">
        <v>7</v>
      </c>
      <c r="D5" s="40" t="s">
        <v>1010</v>
      </c>
      <c r="E5" s="947" t="s">
        <v>4</v>
      </c>
      <c r="F5" s="948" t="s">
        <v>4</v>
      </c>
      <c r="G5" s="44">
        <v>64001.103999999999</v>
      </c>
      <c r="H5" s="81">
        <v>53692.330399999999</v>
      </c>
      <c r="I5" s="949">
        <v>0</v>
      </c>
      <c r="J5" s="950">
        <v>0</v>
      </c>
      <c r="K5" s="449">
        <v>0</v>
      </c>
      <c r="L5" s="59">
        <f t="shared" ref="L5:L23" si="0">O5-K5</f>
        <v>1508.7736000000004</v>
      </c>
      <c r="M5" s="135">
        <v>10308.7736</v>
      </c>
      <c r="N5" s="622">
        <v>-8800</v>
      </c>
      <c r="O5" s="622">
        <f t="shared" ref="O5:O24" si="1">M5+N5</f>
        <v>1508.7736000000004</v>
      </c>
      <c r="P5" s="451">
        <v>8800</v>
      </c>
      <c r="Q5" s="59">
        <v>0</v>
      </c>
      <c r="R5" s="90">
        <v>0</v>
      </c>
      <c r="S5" s="91">
        <v>0</v>
      </c>
      <c r="T5" s="59">
        <v>0</v>
      </c>
      <c r="U5" s="453">
        <v>0</v>
      </c>
      <c r="V5" s="454">
        <v>0</v>
      </c>
      <c r="W5" s="454">
        <v>0</v>
      </c>
      <c r="X5" s="454">
        <v>0</v>
      </c>
      <c r="Y5" s="455">
        <v>0</v>
      </c>
      <c r="Z5" s="162" t="s">
        <v>1859</v>
      </c>
      <c r="AA5" s="40" t="s">
        <v>10</v>
      </c>
      <c r="AB5" s="114" t="s">
        <v>78</v>
      </c>
      <c r="AC5" s="456" t="s">
        <v>80</v>
      </c>
      <c r="AD5" s="114" t="s">
        <v>89</v>
      </c>
      <c r="AE5" s="948" t="s">
        <v>75</v>
      </c>
      <c r="AF5" s="948" t="s">
        <v>72</v>
      </c>
    </row>
    <row r="6" spans="1:32" ht="26.4" outlineLevel="1" x14ac:dyDescent="0.25">
      <c r="A6" s="222" t="s">
        <v>286</v>
      </c>
      <c r="B6" s="1627" t="s">
        <v>297</v>
      </c>
      <c r="C6" s="1628" t="s">
        <v>189</v>
      </c>
      <c r="D6" s="1629" t="s">
        <v>1010</v>
      </c>
      <c r="E6" s="1630" t="s">
        <v>4</v>
      </c>
      <c r="F6" s="1631" t="s">
        <v>4</v>
      </c>
      <c r="G6" s="1499">
        <f>5620.7488+400+1000+200</f>
        <v>7220.7488000000003</v>
      </c>
      <c r="H6" s="1164">
        <v>6787.8838000000005</v>
      </c>
      <c r="I6" s="1165">
        <v>231.23099999999999</v>
      </c>
      <c r="J6" s="1166">
        <v>0</v>
      </c>
      <c r="K6" s="1167">
        <v>231.23099999999999</v>
      </c>
      <c r="L6" s="1168">
        <f t="shared" si="0"/>
        <v>201.63400000000001</v>
      </c>
      <c r="M6" s="1169">
        <v>432.86500000000001</v>
      </c>
      <c r="N6" s="229">
        <v>0</v>
      </c>
      <c r="O6" s="1615">
        <f t="shared" si="1"/>
        <v>432.86500000000001</v>
      </c>
      <c r="P6" s="1981">
        <v>0</v>
      </c>
      <c r="Q6" s="1982">
        <v>0</v>
      </c>
      <c r="R6" s="1983">
        <v>0</v>
      </c>
      <c r="S6" s="1984">
        <v>0</v>
      </c>
      <c r="T6" s="1982">
        <v>0</v>
      </c>
      <c r="U6" s="1239">
        <v>0</v>
      </c>
      <c r="V6" s="1184">
        <v>0</v>
      </c>
      <c r="W6" s="1184">
        <v>0</v>
      </c>
      <c r="X6" s="1189">
        <v>0</v>
      </c>
      <c r="Y6" s="1616">
        <v>0</v>
      </c>
      <c r="Z6" s="1985" t="s">
        <v>72</v>
      </c>
      <c r="AA6" s="1629" t="s">
        <v>10</v>
      </c>
      <c r="AB6" s="1986" t="s">
        <v>78</v>
      </c>
      <c r="AC6" s="1987" t="s">
        <v>80</v>
      </c>
      <c r="AD6" s="1986" t="s">
        <v>88</v>
      </c>
      <c r="AE6" s="1631" t="s">
        <v>75</v>
      </c>
      <c r="AF6" s="1631" t="s">
        <v>72</v>
      </c>
    </row>
    <row r="7" spans="1:32" s="952" customFormat="1" ht="31.8" outlineLevel="1" thickBot="1" x14ac:dyDescent="0.3">
      <c r="A7" s="195" t="s">
        <v>287</v>
      </c>
      <c r="B7" s="1632" t="s">
        <v>298</v>
      </c>
      <c r="C7" s="1633" t="s">
        <v>1173</v>
      </c>
      <c r="D7" s="78" t="s">
        <v>1011</v>
      </c>
      <c r="E7" s="164" t="s">
        <v>4</v>
      </c>
      <c r="F7" s="203" t="s">
        <v>4</v>
      </c>
      <c r="G7" s="1634">
        <v>6956</v>
      </c>
      <c r="H7" s="1170">
        <v>3786.2541999999999</v>
      </c>
      <c r="I7" s="1171">
        <v>498.81887</v>
      </c>
      <c r="J7" s="1172">
        <v>60.376579999999997</v>
      </c>
      <c r="K7" s="1173">
        <v>498.81887</v>
      </c>
      <c r="L7" s="1174">
        <f t="shared" si="0"/>
        <v>2670.9269299999996</v>
      </c>
      <c r="M7" s="152">
        <v>3169.7457999999997</v>
      </c>
      <c r="N7" s="178">
        <v>0</v>
      </c>
      <c r="O7" s="1613">
        <f t="shared" si="1"/>
        <v>3169.7457999999997</v>
      </c>
      <c r="P7" s="1988">
        <v>0</v>
      </c>
      <c r="Q7" s="1989">
        <v>0</v>
      </c>
      <c r="R7" s="1990">
        <v>0</v>
      </c>
      <c r="S7" s="1991">
        <v>0</v>
      </c>
      <c r="T7" s="1989">
        <v>0</v>
      </c>
      <c r="U7" s="1246">
        <v>0</v>
      </c>
      <c r="V7" s="1222">
        <v>0</v>
      </c>
      <c r="W7" s="1222">
        <v>0</v>
      </c>
      <c r="X7" s="1222">
        <v>0</v>
      </c>
      <c r="Y7" s="1612">
        <v>0</v>
      </c>
      <c r="Z7" s="38" t="s">
        <v>72</v>
      </c>
      <c r="AA7" s="78" t="s">
        <v>10</v>
      </c>
      <c r="AB7" s="21" t="s">
        <v>78</v>
      </c>
      <c r="AC7" s="21" t="s">
        <v>80</v>
      </c>
      <c r="AD7" s="20" t="s">
        <v>90</v>
      </c>
      <c r="AE7" s="203" t="s">
        <v>75</v>
      </c>
      <c r="AF7" s="203" t="s">
        <v>72</v>
      </c>
    </row>
    <row r="8" spans="1:32" s="955" customFormat="1" ht="27" outlineLevel="1" thickBot="1" x14ac:dyDescent="0.3">
      <c r="A8" s="562" t="s">
        <v>288</v>
      </c>
      <c r="B8" s="919" t="s">
        <v>299</v>
      </c>
      <c r="C8" s="920" t="s">
        <v>113</v>
      </c>
      <c r="D8" s="67" t="s">
        <v>1012</v>
      </c>
      <c r="E8" s="137" t="s">
        <v>4</v>
      </c>
      <c r="F8" s="286" t="s">
        <v>4</v>
      </c>
      <c r="G8" s="564">
        <v>18000</v>
      </c>
      <c r="H8" s="565">
        <v>15250.19397</v>
      </c>
      <c r="I8" s="953">
        <v>30.25</v>
      </c>
      <c r="J8" s="954">
        <v>1171.3153400000001</v>
      </c>
      <c r="K8" s="566">
        <v>30.25</v>
      </c>
      <c r="L8" s="776">
        <f t="shared" si="0"/>
        <v>1719.5560299999984</v>
      </c>
      <c r="M8" s="479">
        <v>2749.8060299999984</v>
      </c>
      <c r="N8" s="478">
        <v>-1000</v>
      </c>
      <c r="O8" s="478">
        <f t="shared" si="1"/>
        <v>1749.8060299999984</v>
      </c>
      <c r="P8" s="569">
        <v>1000</v>
      </c>
      <c r="Q8" s="567">
        <v>0</v>
      </c>
      <c r="R8" s="568">
        <v>0</v>
      </c>
      <c r="S8" s="571">
        <v>0</v>
      </c>
      <c r="T8" s="567">
        <v>0</v>
      </c>
      <c r="U8" s="473">
        <v>0</v>
      </c>
      <c r="V8" s="560">
        <v>0</v>
      </c>
      <c r="W8" s="560">
        <v>0</v>
      </c>
      <c r="X8" s="560">
        <v>0</v>
      </c>
      <c r="Y8" s="520">
        <v>0</v>
      </c>
      <c r="Z8" s="170" t="s">
        <v>1860</v>
      </c>
      <c r="AA8" s="67" t="s">
        <v>151</v>
      </c>
      <c r="AB8" s="774" t="s">
        <v>1073</v>
      </c>
      <c r="AC8" s="774" t="s">
        <v>80</v>
      </c>
      <c r="AD8" s="194" t="s">
        <v>89</v>
      </c>
      <c r="AE8" s="286" t="s">
        <v>75</v>
      </c>
      <c r="AF8" s="286" t="s">
        <v>72</v>
      </c>
    </row>
    <row r="9" spans="1:32" s="955" customFormat="1" ht="27" outlineLevel="1" thickBot="1" x14ac:dyDescent="0.3">
      <c r="A9" s="227" t="s">
        <v>289</v>
      </c>
      <c r="B9" s="1635" t="s">
        <v>300</v>
      </c>
      <c r="C9" s="1636" t="s">
        <v>190</v>
      </c>
      <c r="D9" s="2" t="s">
        <v>137</v>
      </c>
      <c r="E9" s="1637" t="s">
        <v>4</v>
      </c>
      <c r="F9" s="1638" t="s">
        <v>4</v>
      </c>
      <c r="G9" s="1639">
        <v>820</v>
      </c>
      <c r="H9" s="1175">
        <v>3.8719999999999999</v>
      </c>
      <c r="I9" s="1176">
        <v>0</v>
      </c>
      <c r="J9" s="1177">
        <v>0</v>
      </c>
      <c r="K9" s="1178">
        <v>0</v>
      </c>
      <c r="L9" s="1179">
        <f t="shared" si="0"/>
        <v>816.12800000000004</v>
      </c>
      <c r="M9" s="1180">
        <v>816.12800000000004</v>
      </c>
      <c r="N9" s="230">
        <v>0</v>
      </c>
      <c r="O9" s="1992">
        <f t="shared" si="1"/>
        <v>816.12800000000004</v>
      </c>
      <c r="P9" s="1993">
        <v>0</v>
      </c>
      <c r="Q9" s="1498">
        <v>0</v>
      </c>
      <c r="R9" s="1337">
        <v>0</v>
      </c>
      <c r="S9" s="1994">
        <v>0</v>
      </c>
      <c r="T9" s="1498">
        <v>0</v>
      </c>
      <c r="U9" s="1346">
        <v>0</v>
      </c>
      <c r="V9" s="1205">
        <v>0</v>
      </c>
      <c r="W9" s="1205">
        <v>0</v>
      </c>
      <c r="X9" s="1205">
        <v>0</v>
      </c>
      <c r="Y9" s="1995">
        <v>0</v>
      </c>
      <c r="Z9" s="1996" t="s">
        <v>72</v>
      </c>
      <c r="AA9" s="2" t="s">
        <v>8</v>
      </c>
      <c r="AB9" s="1997" t="s">
        <v>382</v>
      </c>
      <c r="AC9" s="1998" t="s">
        <v>79</v>
      </c>
      <c r="AD9" s="1997" t="s">
        <v>90</v>
      </c>
      <c r="AE9" s="1638" t="s">
        <v>75</v>
      </c>
      <c r="AF9" s="1638" t="s">
        <v>72</v>
      </c>
    </row>
    <row r="10" spans="1:32" s="955" customFormat="1" ht="27" outlineLevel="1" thickBot="1" x14ac:dyDescent="0.3">
      <c r="A10" s="227" t="s">
        <v>290</v>
      </c>
      <c r="B10" s="1635" t="s">
        <v>75</v>
      </c>
      <c r="C10" s="1636" t="s">
        <v>135</v>
      </c>
      <c r="D10" s="2" t="s">
        <v>1013</v>
      </c>
      <c r="E10" s="1637" t="s">
        <v>4</v>
      </c>
      <c r="F10" s="1638" t="s">
        <v>4</v>
      </c>
      <c r="G10" s="1639">
        <v>450</v>
      </c>
      <c r="H10" s="1175">
        <v>0</v>
      </c>
      <c r="I10" s="1176">
        <v>0</v>
      </c>
      <c r="J10" s="1177">
        <v>0</v>
      </c>
      <c r="K10" s="1178">
        <v>0</v>
      </c>
      <c r="L10" s="1179">
        <f t="shared" si="0"/>
        <v>450</v>
      </c>
      <c r="M10" s="1180">
        <v>450</v>
      </c>
      <c r="N10" s="230">
        <v>0</v>
      </c>
      <c r="O10" s="1992">
        <f t="shared" si="1"/>
        <v>450</v>
      </c>
      <c r="P10" s="1993">
        <v>0</v>
      </c>
      <c r="Q10" s="1498">
        <v>0</v>
      </c>
      <c r="R10" s="1337">
        <v>0</v>
      </c>
      <c r="S10" s="1994">
        <v>0</v>
      </c>
      <c r="T10" s="1498">
        <v>0</v>
      </c>
      <c r="U10" s="1346">
        <v>0</v>
      </c>
      <c r="V10" s="1205">
        <v>0</v>
      </c>
      <c r="W10" s="1205">
        <v>0</v>
      </c>
      <c r="X10" s="1205">
        <v>0</v>
      </c>
      <c r="Y10" s="1995">
        <v>0</v>
      </c>
      <c r="Z10" s="1996" t="s">
        <v>72</v>
      </c>
      <c r="AA10" s="2" t="s">
        <v>8</v>
      </c>
      <c r="AB10" s="1998" t="s">
        <v>382</v>
      </c>
      <c r="AC10" s="1998" t="s">
        <v>79</v>
      </c>
      <c r="AD10" s="1997" t="s">
        <v>88</v>
      </c>
      <c r="AE10" s="1638" t="s">
        <v>75</v>
      </c>
      <c r="AF10" s="1638" t="s">
        <v>72</v>
      </c>
    </row>
    <row r="11" spans="1:32" s="956" customFormat="1" ht="26.4" outlineLevel="1" x14ac:dyDescent="0.25">
      <c r="A11" s="228" t="s">
        <v>291</v>
      </c>
      <c r="B11" s="1640" t="s">
        <v>301</v>
      </c>
      <c r="C11" s="1641" t="s">
        <v>400</v>
      </c>
      <c r="D11" s="1642" t="s">
        <v>1014</v>
      </c>
      <c r="E11" s="1643" t="s">
        <v>4</v>
      </c>
      <c r="F11" s="1644" t="s">
        <v>4</v>
      </c>
      <c r="G11" s="1192">
        <v>36600</v>
      </c>
      <c r="H11" s="1181">
        <v>16270.3822</v>
      </c>
      <c r="I11" s="1182">
        <v>9616.73128</v>
      </c>
      <c r="J11" s="1183">
        <v>0</v>
      </c>
      <c r="K11" s="1184">
        <v>9616.73128</v>
      </c>
      <c r="L11" s="1185">
        <f t="shared" si="0"/>
        <v>10712.88652</v>
      </c>
      <c r="M11" s="1169">
        <v>20329.6178</v>
      </c>
      <c r="N11" s="229">
        <v>0</v>
      </c>
      <c r="O11" s="1617">
        <f t="shared" si="1"/>
        <v>20329.6178</v>
      </c>
      <c r="P11" s="1618">
        <v>0</v>
      </c>
      <c r="Q11" s="1238">
        <v>0</v>
      </c>
      <c r="R11" s="1237">
        <v>0</v>
      </c>
      <c r="S11" s="1999">
        <v>0</v>
      </c>
      <c r="T11" s="1618">
        <v>0</v>
      </c>
      <c r="U11" s="1237">
        <v>0</v>
      </c>
      <c r="V11" s="1184">
        <v>0</v>
      </c>
      <c r="W11" s="1184">
        <v>0</v>
      </c>
      <c r="X11" s="1184">
        <v>0</v>
      </c>
      <c r="Y11" s="1618">
        <v>0</v>
      </c>
      <c r="Z11" s="2000" t="s">
        <v>72</v>
      </c>
      <c r="AA11" s="2001" t="s">
        <v>10</v>
      </c>
      <c r="AB11" s="2002" t="s">
        <v>382</v>
      </c>
      <c r="AC11" s="2002" t="s">
        <v>80</v>
      </c>
      <c r="AD11" s="2002" t="s">
        <v>89</v>
      </c>
      <c r="AE11" s="1644" t="s">
        <v>75</v>
      </c>
      <c r="AF11" s="1644" t="s">
        <v>72</v>
      </c>
    </row>
    <row r="12" spans="1:32" ht="27" outlineLevel="1" thickBot="1" x14ac:dyDescent="0.3">
      <c r="A12" s="437" t="s">
        <v>292</v>
      </c>
      <c r="B12" s="1627" t="s">
        <v>540</v>
      </c>
      <c r="C12" s="1628" t="s">
        <v>164</v>
      </c>
      <c r="D12" s="1629" t="s">
        <v>1014</v>
      </c>
      <c r="E12" s="1645" t="s">
        <v>4</v>
      </c>
      <c r="F12" s="1631" t="s">
        <v>4</v>
      </c>
      <c r="G12" s="1193">
        <v>3200</v>
      </c>
      <c r="H12" s="1186">
        <v>72.599999999999994</v>
      </c>
      <c r="I12" s="1187">
        <v>450.57100000000003</v>
      </c>
      <c r="J12" s="1188">
        <v>30.25</v>
      </c>
      <c r="K12" s="1189">
        <v>450.57100000000003</v>
      </c>
      <c r="L12" s="1190">
        <f t="shared" si="0"/>
        <v>2676.8290000000002</v>
      </c>
      <c r="M12" s="1191">
        <v>3127.4</v>
      </c>
      <c r="N12" s="231">
        <v>0</v>
      </c>
      <c r="O12" s="1615">
        <f t="shared" si="1"/>
        <v>3127.4</v>
      </c>
      <c r="P12" s="1616">
        <v>0</v>
      </c>
      <c r="Q12" s="1190">
        <v>0</v>
      </c>
      <c r="R12" s="1239">
        <v>0</v>
      </c>
      <c r="S12" s="2003">
        <v>0</v>
      </c>
      <c r="T12" s="1616">
        <v>0</v>
      </c>
      <c r="U12" s="1239">
        <v>0</v>
      </c>
      <c r="V12" s="1184">
        <v>0</v>
      </c>
      <c r="W12" s="1184">
        <v>0</v>
      </c>
      <c r="X12" s="1189">
        <v>0</v>
      </c>
      <c r="Y12" s="1616">
        <v>0</v>
      </c>
      <c r="Z12" s="85" t="s">
        <v>72</v>
      </c>
      <c r="AA12" s="2004" t="s">
        <v>10</v>
      </c>
      <c r="AB12" s="2002" t="s">
        <v>382</v>
      </c>
      <c r="AC12" s="2002" t="s">
        <v>79</v>
      </c>
      <c r="AD12" s="2002" t="s">
        <v>90</v>
      </c>
      <c r="AE12" s="1644" t="s">
        <v>75</v>
      </c>
      <c r="AF12" s="1644" t="s">
        <v>72</v>
      </c>
    </row>
    <row r="13" spans="1:32" s="955" customFormat="1" ht="31.8" outlineLevel="1" thickBot="1" x14ac:dyDescent="0.3">
      <c r="A13" s="921" t="s">
        <v>293</v>
      </c>
      <c r="B13" s="468" t="s">
        <v>1686</v>
      </c>
      <c r="C13" s="920" t="s">
        <v>191</v>
      </c>
      <c r="D13" s="67" t="s">
        <v>228</v>
      </c>
      <c r="E13" s="137" t="s">
        <v>4</v>
      </c>
      <c r="F13" s="286" t="s">
        <v>4</v>
      </c>
      <c r="G13" s="472">
        <v>11000</v>
      </c>
      <c r="H13" s="922">
        <v>0</v>
      </c>
      <c r="I13" s="923">
        <v>0</v>
      </c>
      <c r="J13" s="924">
        <v>42.35</v>
      </c>
      <c r="K13" s="560">
        <v>0</v>
      </c>
      <c r="L13" s="759">
        <f t="shared" si="0"/>
        <v>1300</v>
      </c>
      <c r="M13" s="479">
        <v>11000</v>
      </c>
      <c r="N13" s="478">
        <v>-9700</v>
      </c>
      <c r="O13" s="478">
        <f t="shared" si="1"/>
        <v>1300</v>
      </c>
      <c r="P13" s="520">
        <v>9700</v>
      </c>
      <c r="Q13" s="573">
        <v>0</v>
      </c>
      <c r="R13" s="473">
        <v>0</v>
      </c>
      <c r="S13" s="572">
        <v>0</v>
      </c>
      <c r="T13" s="573">
        <v>0</v>
      </c>
      <c r="U13" s="473">
        <v>0</v>
      </c>
      <c r="V13" s="560">
        <v>0</v>
      </c>
      <c r="W13" s="560">
        <v>0</v>
      </c>
      <c r="X13" s="560">
        <v>0</v>
      </c>
      <c r="Y13" s="520">
        <v>0</v>
      </c>
      <c r="Z13" s="170" t="s">
        <v>1861</v>
      </c>
      <c r="AA13" s="435" t="s">
        <v>10</v>
      </c>
      <c r="AB13" s="194" t="s">
        <v>1073</v>
      </c>
      <c r="AC13" s="194" t="s">
        <v>80</v>
      </c>
      <c r="AD13" s="194" t="s">
        <v>90</v>
      </c>
      <c r="AE13" s="286" t="s">
        <v>75</v>
      </c>
      <c r="AF13" s="286" t="s">
        <v>72</v>
      </c>
    </row>
    <row r="14" spans="1:32" ht="31.2" outlineLevel="1" x14ac:dyDescent="0.25">
      <c r="A14" s="225" t="s">
        <v>660</v>
      </c>
      <c r="B14" s="1640" t="s">
        <v>75</v>
      </c>
      <c r="C14" s="1641" t="s">
        <v>661</v>
      </c>
      <c r="D14" s="1642" t="s">
        <v>1015</v>
      </c>
      <c r="E14" s="1643" t="s">
        <v>4</v>
      </c>
      <c r="F14" s="1644" t="s">
        <v>4</v>
      </c>
      <c r="G14" s="1192">
        <v>550</v>
      </c>
      <c r="H14" s="1192">
        <v>0</v>
      </c>
      <c r="I14" s="1182">
        <v>0</v>
      </c>
      <c r="J14" s="1188">
        <v>0</v>
      </c>
      <c r="K14" s="1184">
        <v>0</v>
      </c>
      <c r="L14" s="1185">
        <f t="shared" si="0"/>
        <v>550</v>
      </c>
      <c r="M14" s="1169">
        <v>550</v>
      </c>
      <c r="N14" s="229">
        <v>0</v>
      </c>
      <c r="O14" s="1617">
        <f t="shared" si="1"/>
        <v>550</v>
      </c>
      <c r="P14" s="1169">
        <v>0</v>
      </c>
      <c r="Q14" s="1169">
        <v>0</v>
      </c>
      <c r="R14" s="1237">
        <v>0</v>
      </c>
      <c r="S14" s="1999">
        <v>0</v>
      </c>
      <c r="T14" s="1618">
        <v>0</v>
      </c>
      <c r="U14" s="1237">
        <v>0</v>
      </c>
      <c r="V14" s="1184">
        <v>0</v>
      </c>
      <c r="W14" s="1184">
        <v>0</v>
      </c>
      <c r="X14" s="1184">
        <v>0</v>
      </c>
      <c r="Y14" s="1618">
        <v>0</v>
      </c>
      <c r="Z14" s="2017" t="s">
        <v>72</v>
      </c>
      <c r="AA14" s="1642" t="s">
        <v>8</v>
      </c>
      <c r="AB14" s="2002" t="s">
        <v>382</v>
      </c>
      <c r="AC14" s="2002" t="s">
        <v>79</v>
      </c>
      <c r="AD14" s="2002" t="s">
        <v>89</v>
      </c>
      <c r="AE14" s="1644" t="s">
        <v>75</v>
      </c>
      <c r="AF14" s="1644" t="s">
        <v>72</v>
      </c>
    </row>
    <row r="15" spans="1:32" s="956" customFormat="1" ht="31.2" outlineLevel="1" x14ac:dyDescent="0.25">
      <c r="A15" s="457" t="s">
        <v>662</v>
      </c>
      <c r="B15" s="458" t="s">
        <v>1491</v>
      </c>
      <c r="C15" s="684" t="s">
        <v>663</v>
      </c>
      <c r="D15" s="41" t="s">
        <v>1015</v>
      </c>
      <c r="E15" s="32" t="s">
        <v>4</v>
      </c>
      <c r="F15" s="957" t="s">
        <v>4</v>
      </c>
      <c r="G15" s="144">
        <v>7500</v>
      </c>
      <c r="H15" s="144">
        <v>0</v>
      </c>
      <c r="I15" s="958">
        <v>189.97</v>
      </c>
      <c r="J15" s="959">
        <v>0</v>
      </c>
      <c r="K15" s="464">
        <v>189.97</v>
      </c>
      <c r="L15" s="654">
        <f t="shared" si="0"/>
        <v>310.02999999999997</v>
      </c>
      <c r="M15" s="460">
        <v>7500</v>
      </c>
      <c r="N15" s="462">
        <v>-7000</v>
      </c>
      <c r="O15" s="462">
        <f t="shared" si="1"/>
        <v>500</v>
      </c>
      <c r="P15" s="460">
        <v>7000</v>
      </c>
      <c r="Q15" s="460">
        <v>0</v>
      </c>
      <c r="R15" s="463">
        <v>0</v>
      </c>
      <c r="S15" s="820">
        <v>0</v>
      </c>
      <c r="T15" s="465">
        <v>0</v>
      </c>
      <c r="U15" s="463">
        <v>0</v>
      </c>
      <c r="V15" s="464">
        <v>0</v>
      </c>
      <c r="W15" s="464">
        <v>0</v>
      </c>
      <c r="X15" s="464">
        <v>0</v>
      </c>
      <c r="Y15" s="465">
        <v>0</v>
      </c>
      <c r="Z15" s="169" t="s">
        <v>1862</v>
      </c>
      <c r="AA15" s="41" t="s">
        <v>10</v>
      </c>
      <c r="AB15" s="49" t="s">
        <v>382</v>
      </c>
      <c r="AC15" s="49" t="s">
        <v>80</v>
      </c>
      <c r="AD15" s="49" t="s">
        <v>89</v>
      </c>
      <c r="AE15" s="957" t="s">
        <v>75</v>
      </c>
      <c r="AF15" s="957" t="s">
        <v>72</v>
      </c>
    </row>
    <row r="16" spans="1:32" ht="31.2" outlineLevel="1" x14ac:dyDescent="0.25">
      <c r="A16" s="222" t="s">
        <v>664</v>
      </c>
      <c r="B16" s="1627" t="s">
        <v>1177</v>
      </c>
      <c r="C16" s="1628" t="s">
        <v>665</v>
      </c>
      <c r="D16" s="1629" t="s">
        <v>1015</v>
      </c>
      <c r="E16" s="1645" t="s">
        <v>4</v>
      </c>
      <c r="F16" s="1631" t="s">
        <v>4</v>
      </c>
      <c r="G16" s="1193">
        <v>3500</v>
      </c>
      <c r="H16" s="1193">
        <v>972.26300000000003</v>
      </c>
      <c r="I16" s="1187">
        <v>0</v>
      </c>
      <c r="J16" s="1194">
        <v>0</v>
      </c>
      <c r="K16" s="1189">
        <v>0</v>
      </c>
      <c r="L16" s="1195">
        <f t="shared" si="0"/>
        <v>2527.7370000000001</v>
      </c>
      <c r="M16" s="1191">
        <v>2527.7370000000001</v>
      </c>
      <c r="N16" s="231">
        <v>0</v>
      </c>
      <c r="O16" s="1615">
        <f t="shared" si="1"/>
        <v>2527.7370000000001</v>
      </c>
      <c r="P16" s="1191">
        <v>0</v>
      </c>
      <c r="Q16" s="1191">
        <v>0</v>
      </c>
      <c r="R16" s="1239">
        <v>0</v>
      </c>
      <c r="S16" s="2003">
        <v>0</v>
      </c>
      <c r="T16" s="1616">
        <v>0</v>
      </c>
      <c r="U16" s="1239">
        <v>0</v>
      </c>
      <c r="V16" s="1189">
        <v>0</v>
      </c>
      <c r="W16" s="1189">
        <v>0</v>
      </c>
      <c r="X16" s="1189">
        <v>0</v>
      </c>
      <c r="Y16" s="1616">
        <v>0</v>
      </c>
      <c r="Z16" s="1985" t="s">
        <v>72</v>
      </c>
      <c r="AA16" s="1629" t="s">
        <v>10</v>
      </c>
      <c r="AB16" s="1986" t="s">
        <v>1073</v>
      </c>
      <c r="AC16" s="1986" t="s">
        <v>80</v>
      </c>
      <c r="AD16" s="2005">
        <v>1</v>
      </c>
      <c r="AE16" s="1631" t="s">
        <v>75</v>
      </c>
      <c r="AF16" s="1631" t="s">
        <v>72</v>
      </c>
    </row>
    <row r="17" spans="1:32" s="960" customFormat="1" ht="27" outlineLevel="1" thickBot="1" x14ac:dyDescent="0.3">
      <c r="A17" s="244" t="s">
        <v>709</v>
      </c>
      <c r="B17" s="1646" t="s">
        <v>1481</v>
      </c>
      <c r="C17" s="1647" t="s">
        <v>710</v>
      </c>
      <c r="D17" s="1648" t="s">
        <v>1015</v>
      </c>
      <c r="E17" s="1649" t="s">
        <v>4</v>
      </c>
      <c r="F17" s="1650" t="s">
        <v>4</v>
      </c>
      <c r="G17" s="1651">
        <f>2450-7.736</f>
        <v>2442.2640000000001</v>
      </c>
      <c r="H17" s="1196">
        <v>130.68</v>
      </c>
      <c r="I17" s="1197">
        <v>2250.6</v>
      </c>
      <c r="J17" s="1198">
        <v>60.984000000000002</v>
      </c>
      <c r="K17" s="1199">
        <v>2250.6</v>
      </c>
      <c r="L17" s="1200">
        <f t="shared" si="0"/>
        <v>60.984000000000378</v>
      </c>
      <c r="M17" s="1201">
        <v>2319.3200000000002</v>
      </c>
      <c r="N17" s="925">
        <v>-7.7359999999999998</v>
      </c>
      <c r="O17" s="2006">
        <f t="shared" si="1"/>
        <v>2311.5840000000003</v>
      </c>
      <c r="P17" s="1201">
        <v>0</v>
      </c>
      <c r="Q17" s="2007">
        <v>0</v>
      </c>
      <c r="R17" s="2008">
        <v>0</v>
      </c>
      <c r="S17" s="1199">
        <v>0</v>
      </c>
      <c r="T17" s="2007">
        <v>0</v>
      </c>
      <c r="U17" s="2008">
        <v>0</v>
      </c>
      <c r="V17" s="1199">
        <v>0</v>
      </c>
      <c r="W17" s="1199">
        <v>0</v>
      </c>
      <c r="X17" s="1199">
        <v>0</v>
      </c>
      <c r="Y17" s="2009">
        <v>0</v>
      </c>
      <c r="Z17" s="2010" t="s">
        <v>1863</v>
      </c>
      <c r="AA17" s="2011" t="s">
        <v>83</v>
      </c>
      <c r="AB17" s="2012" t="s">
        <v>448</v>
      </c>
      <c r="AC17" s="2012" t="s">
        <v>80</v>
      </c>
      <c r="AD17" s="2012" t="s">
        <v>89</v>
      </c>
      <c r="AE17" s="1650" t="s">
        <v>75</v>
      </c>
      <c r="AF17" s="1650" t="s">
        <v>72</v>
      </c>
    </row>
    <row r="18" spans="1:32" s="956" customFormat="1" ht="27" outlineLevel="1" thickBot="1" x14ac:dyDescent="0.3">
      <c r="A18" s="227" t="s">
        <v>859</v>
      </c>
      <c r="B18" s="1635" t="s">
        <v>1387</v>
      </c>
      <c r="C18" s="1636" t="s">
        <v>860</v>
      </c>
      <c r="D18" s="2" t="s">
        <v>1016</v>
      </c>
      <c r="E18" s="1637" t="s">
        <v>4</v>
      </c>
      <c r="F18" s="1638" t="s">
        <v>4</v>
      </c>
      <c r="G18" s="1652">
        <v>1500</v>
      </c>
      <c r="H18" s="1202">
        <v>0</v>
      </c>
      <c r="I18" s="1203">
        <v>526.70452999999998</v>
      </c>
      <c r="J18" s="1204">
        <v>0</v>
      </c>
      <c r="K18" s="1205">
        <v>526.70452999999998</v>
      </c>
      <c r="L18" s="1206">
        <f t="shared" si="0"/>
        <v>973.29547000000002</v>
      </c>
      <c r="M18" s="1180">
        <v>1500</v>
      </c>
      <c r="N18" s="295">
        <v>0</v>
      </c>
      <c r="O18" s="1992">
        <f t="shared" si="1"/>
        <v>1500</v>
      </c>
      <c r="P18" s="1180">
        <v>0</v>
      </c>
      <c r="Q18" s="2013">
        <v>0</v>
      </c>
      <c r="R18" s="1346">
        <v>0</v>
      </c>
      <c r="S18" s="1205">
        <v>0</v>
      </c>
      <c r="T18" s="2013">
        <v>0</v>
      </c>
      <c r="U18" s="1346">
        <v>0</v>
      </c>
      <c r="V18" s="1205">
        <v>0</v>
      </c>
      <c r="W18" s="1205">
        <v>0</v>
      </c>
      <c r="X18" s="1205">
        <v>0</v>
      </c>
      <c r="Y18" s="1995">
        <v>0</v>
      </c>
      <c r="Z18" s="1996" t="s">
        <v>72</v>
      </c>
      <c r="AA18" s="1788" t="s">
        <v>10</v>
      </c>
      <c r="AB18" s="1997" t="s">
        <v>382</v>
      </c>
      <c r="AC18" s="1997" t="s">
        <v>80</v>
      </c>
      <c r="AD18" s="1997" t="s">
        <v>89</v>
      </c>
      <c r="AE18" s="1638" t="s">
        <v>75</v>
      </c>
      <c r="AF18" s="1638" t="s">
        <v>72</v>
      </c>
    </row>
    <row r="19" spans="1:32" s="956" customFormat="1" ht="27" outlineLevel="1" thickBot="1" x14ac:dyDescent="0.3">
      <c r="A19" s="159" t="s">
        <v>915</v>
      </c>
      <c r="B19" s="1653" t="s">
        <v>1351</v>
      </c>
      <c r="C19" s="1654" t="s">
        <v>916</v>
      </c>
      <c r="D19" s="1655" t="s">
        <v>1056</v>
      </c>
      <c r="E19" s="1656" t="s">
        <v>4</v>
      </c>
      <c r="F19" s="1657" t="s">
        <v>4</v>
      </c>
      <c r="G19" s="1658">
        <v>482.76580000000001</v>
      </c>
      <c r="H19" s="1207">
        <v>0</v>
      </c>
      <c r="I19" s="1208">
        <v>482.76580000000001</v>
      </c>
      <c r="J19" s="1209">
        <v>0</v>
      </c>
      <c r="K19" s="1210">
        <f>550-67.2342</f>
        <v>482.76580000000001</v>
      </c>
      <c r="L19" s="1211">
        <f t="shared" si="0"/>
        <v>0</v>
      </c>
      <c r="M19" s="1212">
        <v>482.76580000000001</v>
      </c>
      <c r="N19" s="298">
        <v>0</v>
      </c>
      <c r="O19" s="1622">
        <f t="shared" si="1"/>
        <v>482.76580000000001</v>
      </c>
      <c r="P19" s="1212">
        <v>0</v>
      </c>
      <c r="Q19" s="1537">
        <v>0</v>
      </c>
      <c r="R19" s="1623">
        <v>0</v>
      </c>
      <c r="S19" s="1210">
        <v>0</v>
      </c>
      <c r="T19" s="1537">
        <v>0</v>
      </c>
      <c r="U19" s="1623">
        <v>0</v>
      </c>
      <c r="V19" s="1210">
        <v>0</v>
      </c>
      <c r="W19" s="1210">
        <v>0</v>
      </c>
      <c r="X19" s="1210">
        <v>0</v>
      </c>
      <c r="Y19" s="1624">
        <v>0</v>
      </c>
      <c r="Z19" s="2014" t="s">
        <v>72</v>
      </c>
      <c r="AA19" s="2015" t="s">
        <v>83</v>
      </c>
      <c r="AB19" s="2016" t="s">
        <v>711</v>
      </c>
      <c r="AC19" s="2016" t="s">
        <v>80</v>
      </c>
      <c r="AD19" s="2016" t="s">
        <v>89</v>
      </c>
      <c r="AE19" s="1657" t="s">
        <v>75</v>
      </c>
      <c r="AF19" s="1657" t="s">
        <v>72</v>
      </c>
    </row>
    <row r="20" spans="1:32" s="956" customFormat="1" ht="31.2" outlineLevel="1" x14ac:dyDescent="0.25">
      <c r="A20" s="225" t="s">
        <v>1068</v>
      </c>
      <c r="B20" s="1640" t="s">
        <v>75</v>
      </c>
      <c r="C20" s="1641" t="s">
        <v>1069</v>
      </c>
      <c r="D20" s="1642" t="s">
        <v>1219</v>
      </c>
      <c r="E20" s="1643" t="s">
        <v>4</v>
      </c>
      <c r="F20" s="1644" t="s">
        <v>4</v>
      </c>
      <c r="G20" s="1192">
        <v>750</v>
      </c>
      <c r="H20" s="1192">
        <v>0</v>
      </c>
      <c r="I20" s="1182">
        <v>0</v>
      </c>
      <c r="J20" s="1188">
        <v>0</v>
      </c>
      <c r="K20" s="1184">
        <v>0</v>
      </c>
      <c r="L20" s="1185">
        <f t="shared" si="0"/>
        <v>750</v>
      </c>
      <c r="M20" s="1169">
        <v>750</v>
      </c>
      <c r="N20" s="229">
        <v>0</v>
      </c>
      <c r="O20" s="1617">
        <f t="shared" si="1"/>
        <v>750</v>
      </c>
      <c r="P20" s="1169">
        <v>0</v>
      </c>
      <c r="Q20" s="1169">
        <v>0</v>
      </c>
      <c r="R20" s="1237">
        <v>0</v>
      </c>
      <c r="S20" s="1999">
        <v>0</v>
      </c>
      <c r="T20" s="1618">
        <v>0</v>
      </c>
      <c r="U20" s="1237">
        <v>0</v>
      </c>
      <c r="V20" s="1184">
        <v>0</v>
      </c>
      <c r="W20" s="1184">
        <v>0</v>
      </c>
      <c r="X20" s="1184">
        <v>0</v>
      </c>
      <c r="Y20" s="1618">
        <v>0</v>
      </c>
      <c r="Z20" s="2017" t="s">
        <v>72</v>
      </c>
      <c r="AA20" s="2004" t="s">
        <v>10</v>
      </c>
      <c r="AB20" s="2002" t="s">
        <v>382</v>
      </c>
      <c r="AC20" s="2002" t="s">
        <v>80</v>
      </c>
      <c r="AD20" s="2002" t="s">
        <v>89</v>
      </c>
      <c r="AE20" s="1644" t="s">
        <v>75</v>
      </c>
      <c r="AF20" s="1644" t="s">
        <v>72</v>
      </c>
    </row>
    <row r="21" spans="1:32" s="956" customFormat="1" ht="27" outlineLevel="1" thickBot="1" x14ac:dyDescent="0.3">
      <c r="A21" s="226" t="s">
        <v>1070</v>
      </c>
      <c r="B21" s="1659" t="s">
        <v>75</v>
      </c>
      <c r="C21" s="1660" t="s">
        <v>1071</v>
      </c>
      <c r="D21" s="1661" t="s">
        <v>1219</v>
      </c>
      <c r="E21" s="1662" t="s">
        <v>4</v>
      </c>
      <c r="F21" s="1663" t="s">
        <v>4</v>
      </c>
      <c r="G21" s="1213">
        <v>1450</v>
      </c>
      <c r="H21" s="1213">
        <v>0</v>
      </c>
      <c r="I21" s="1214">
        <v>0</v>
      </c>
      <c r="J21" s="1215">
        <v>0</v>
      </c>
      <c r="K21" s="1216">
        <v>0</v>
      </c>
      <c r="L21" s="1217">
        <f t="shared" si="0"/>
        <v>1450</v>
      </c>
      <c r="M21" s="1218">
        <v>1450</v>
      </c>
      <c r="N21" s="224">
        <v>0</v>
      </c>
      <c r="O21" s="1619">
        <f t="shared" si="1"/>
        <v>1450</v>
      </c>
      <c r="P21" s="1218">
        <v>0</v>
      </c>
      <c r="Q21" s="1218">
        <v>0</v>
      </c>
      <c r="R21" s="1273">
        <v>0</v>
      </c>
      <c r="S21" s="2018">
        <v>0</v>
      </c>
      <c r="T21" s="1620">
        <v>0</v>
      </c>
      <c r="U21" s="1273">
        <v>0</v>
      </c>
      <c r="V21" s="1216">
        <v>0</v>
      </c>
      <c r="W21" s="1216">
        <v>0</v>
      </c>
      <c r="X21" s="1216">
        <v>0</v>
      </c>
      <c r="Y21" s="1620">
        <v>0</v>
      </c>
      <c r="Z21" s="85" t="s">
        <v>72</v>
      </c>
      <c r="AA21" s="1661" t="s">
        <v>10</v>
      </c>
      <c r="AB21" s="15" t="s">
        <v>382</v>
      </c>
      <c r="AC21" s="15" t="s">
        <v>80</v>
      </c>
      <c r="AD21" s="15" t="s">
        <v>89</v>
      </c>
      <c r="AE21" s="1663" t="s">
        <v>75</v>
      </c>
      <c r="AF21" s="1663" t="s">
        <v>72</v>
      </c>
    </row>
    <row r="22" spans="1:32" s="956" customFormat="1" ht="31.2" outlineLevel="1" x14ac:dyDescent="0.25">
      <c r="A22" s="225" t="s">
        <v>1232</v>
      </c>
      <c r="B22" s="1664" t="s">
        <v>1628</v>
      </c>
      <c r="C22" s="1665" t="s">
        <v>1233</v>
      </c>
      <c r="D22" s="1642" t="s">
        <v>1417</v>
      </c>
      <c r="E22" s="1643" t="s">
        <v>4</v>
      </c>
      <c r="F22" s="1644" t="s">
        <v>4</v>
      </c>
      <c r="G22" s="1192">
        <v>6000</v>
      </c>
      <c r="H22" s="1181">
        <v>0</v>
      </c>
      <c r="I22" s="1182">
        <v>0</v>
      </c>
      <c r="J22" s="1188">
        <v>30.99999</v>
      </c>
      <c r="K22" s="1184">
        <v>0</v>
      </c>
      <c r="L22" s="1185">
        <f t="shared" si="0"/>
        <v>6000</v>
      </c>
      <c r="M22" s="1169">
        <v>6000</v>
      </c>
      <c r="N22" s="234">
        <v>0</v>
      </c>
      <c r="O22" s="1617">
        <f t="shared" si="1"/>
        <v>6000</v>
      </c>
      <c r="P22" s="1169">
        <v>0</v>
      </c>
      <c r="Q22" s="1238">
        <v>0</v>
      </c>
      <c r="R22" s="1237">
        <v>0</v>
      </c>
      <c r="S22" s="1999">
        <v>0</v>
      </c>
      <c r="T22" s="1238">
        <v>0</v>
      </c>
      <c r="U22" s="1237">
        <v>0</v>
      </c>
      <c r="V22" s="1184">
        <v>0</v>
      </c>
      <c r="W22" s="1184">
        <v>0</v>
      </c>
      <c r="X22" s="1184">
        <v>0</v>
      </c>
      <c r="Y22" s="1618">
        <v>0</v>
      </c>
      <c r="Z22" s="2017" t="s">
        <v>72</v>
      </c>
      <c r="AA22" s="2001" t="s">
        <v>10</v>
      </c>
      <c r="AB22" s="2019" t="s">
        <v>382</v>
      </c>
      <c r="AC22" s="2002" t="s">
        <v>80</v>
      </c>
      <c r="AD22" s="2002" t="s">
        <v>89</v>
      </c>
      <c r="AE22" s="1644" t="s">
        <v>75</v>
      </c>
      <c r="AF22" s="1644" t="s">
        <v>72</v>
      </c>
    </row>
    <row r="23" spans="1:32" s="956" customFormat="1" ht="31.8" outlineLevel="1" thickBot="1" x14ac:dyDescent="0.3">
      <c r="A23" s="195" t="s">
        <v>1234</v>
      </c>
      <c r="B23" s="1666" t="s">
        <v>75</v>
      </c>
      <c r="C23" s="1633" t="s">
        <v>1235</v>
      </c>
      <c r="D23" s="78" t="s">
        <v>1417</v>
      </c>
      <c r="E23" s="1667" t="s">
        <v>4</v>
      </c>
      <c r="F23" s="203" t="s">
        <v>4</v>
      </c>
      <c r="G23" s="1312">
        <v>650</v>
      </c>
      <c r="H23" s="1219">
        <v>0</v>
      </c>
      <c r="I23" s="1220">
        <v>0</v>
      </c>
      <c r="J23" s="1221">
        <v>0</v>
      </c>
      <c r="K23" s="1222">
        <v>0</v>
      </c>
      <c r="L23" s="1223">
        <f t="shared" si="0"/>
        <v>650</v>
      </c>
      <c r="M23" s="152">
        <v>650</v>
      </c>
      <c r="N23" s="319">
        <v>0</v>
      </c>
      <c r="O23" s="1613">
        <f t="shared" si="1"/>
        <v>650</v>
      </c>
      <c r="P23" s="152">
        <v>0</v>
      </c>
      <c r="Q23" s="1614">
        <v>0</v>
      </c>
      <c r="R23" s="1246">
        <v>0</v>
      </c>
      <c r="S23" s="2020">
        <v>0</v>
      </c>
      <c r="T23" s="1614">
        <v>0</v>
      </c>
      <c r="U23" s="1246">
        <v>0</v>
      </c>
      <c r="V23" s="1222">
        <v>0</v>
      </c>
      <c r="W23" s="1222">
        <v>0</v>
      </c>
      <c r="X23" s="1222">
        <v>0</v>
      </c>
      <c r="Y23" s="1612">
        <v>0</v>
      </c>
      <c r="Z23" s="38" t="s">
        <v>72</v>
      </c>
      <c r="AA23" s="2021" t="s">
        <v>10</v>
      </c>
      <c r="AB23" s="20" t="s">
        <v>382</v>
      </c>
      <c r="AC23" s="20" t="s">
        <v>80</v>
      </c>
      <c r="AD23" s="20" t="s">
        <v>89</v>
      </c>
      <c r="AE23" s="203" t="s">
        <v>75</v>
      </c>
      <c r="AF23" s="203" t="s">
        <v>72</v>
      </c>
    </row>
    <row r="24" spans="1:32" s="956" customFormat="1" ht="46.8" outlineLevel="1" x14ac:dyDescent="0.25">
      <c r="A24" s="926" t="s">
        <v>1864</v>
      </c>
      <c r="B24" s="927" t="s">
        <v>75</v>
      </c>
      <c r="C24" s="928" t="s">
        <v>1865</v>
      </c>
      <c r="D24" s="36" t="s">
        <v>75</v>
      </c>
      <c r="E24" s="27" t="s">
        <v>4</v>
      </c>
      <c r="F24" s="961" t="s">
        <v>4</v>
      </c>
      <c r="G24" s="160">
        <v>250</v>
      </c>
      <c r="H24" s="124">
        <v>0</v>
      </c>
      <c r="I24" s="962">
        <v>0</v>
      </c>
      <c r="J24" s="963">
        <v>0</v>
      </c>
      <c r="K24" s="929">
        <v>0</v>
      </c>
      <c r="L24" s="930">
        <v>0</v>
      </c>
      <c r="M24" s="188">
        <v>0</v>
      </c>
      <c r="N24" s="2592">
        <v>0</v>
      </c>
      <c r="O24" s="933">
        <f t="shared" si="1"/>
        <v>0</v>
      </c>
      <c r="P24" s="188">
        <v>250</v>
      </c>
      <c r="Q24" s="939">
        <v>0</v>
      </c>
      <c r="R24" s="1027">
        <v>0</v>
      </c>
      <c r="S24" s="929">
        <v>0</v>
      </c>
      <c r="T24" s="934">
        <v>0</v>
      </c>
      <c r="U24" s="931">
        <v>0</v>
      </c>
      <c r="V24" s="929">
        <v>0</v>
      </c>
      <c r="W24" s="929">
        <v>0</v>
      </c>
      <c r="X24" s="929">
        <v>0</v>
      </c>
      <c r="Y24" s="932">
        <v>0</v>
      </c>
      <c r="Z24" s="175" t="s">
        <v>1866</v>
      </c>
      <c r="AA24" s="43" t="s">
        <v>8</v>
      </c>
      <c r="AB24" s="109" t="s">
        <v>1311</v>
      </c>
      <c r="AC24" s="88" t="s">
        <v>79</v>
      </c>
      <c r="AD24" s="88" t="s">
        <v>89</v>
      </c>
      <c r="AE24" s="961" t="s">
        <v>75</v>
      </c>
      <c r="AF24" s="961" t="s">
        <v>72</v>
      </c>
    </row>
    <row r="25" spans="1:32" s="956" customFormat="1" ht="31.2" outlineLevel="1" x14ac:dyDescent="0.25">
      <c r="A25" s="730" t="s">
        <v>1867</v>
      </c>
      <c r="B25" s="935" t="s">
        <v>75</v>
      </c>
      <c r="C25" s="936" t="s">
        <v>1868</v>
      </c>
      <c r="D25" s="31" t="s">
        <v>75</v>
      </c>
      <c r="E25" s="26" t="s">
        <v>4</v>
      </c>
      <c r="F25" s="964" t="s">
        <v>4</v>
      </c>
      <c r="G25" s="130">
        <v>1200</v>
      </c>
      <c r="H25" s="149">
        <v>0</v>
      </c>
      <c r="I25" s="965">
        <v>0</v>
      </c>
      <c r="J25" s="966">
        <v>0</v>
      </c>
      <c r="K25" s="863">
        <v>0</v>
      </c>
      <c r="L25" s="937">
        <v>0</v>
      </c>
      <c r="M25" s="733">
        <v>0</v>
      </c>
      <c r="N25" s="2593">
        <v>0</v>
      </c>
      <c r="O25" s="734">
        <v>0</v>
      </c>
      <c r="P25" s="733">
        <v>1200</v>
      </c>
      <c r="Q25" s="733">
        <v>0</v>
      </c>
      <c r="R25" s="862">
        <v>0</v>
      </c>
      <c r="S25" s="863">
        <v>0</v>
      </c>
      <c r="T25" s="938">
        <v>0</v>
      </c>
      <c r="U25" s="862">
        <v>0</v>
      </c>
      <c r="V25" s="863">
        <v>0</v>
      </c>
      <c r="W25" s="863">
        <v>0</v>
      </c>
      <c r="X25" s="863">
        <v>0</v>
      </c>
      <c r="Y25" s="864">
        <v>0</v>
      </c>
      <c r="Z25" s="126" t="s">
        <v>1869</v>
      </c>
      <c r="AA25" s="37" t="s">
        <v>8</v>
      </c>
      <c r="AB25" s="109" t="s">
        <v>1076</v>
      </c>
      <c r="AC25" s="80" t="s">
        <v>79</v>
      </c>
      <c r="AD25" s="80" t="s">
        <v>89</v>
      </c>
      <c r="AE25" s="964" t="s">
        <v>75</v>
      </c>
      <c r="AF25" s="964" t="s">
        <v>72</v>
      </c>
    </row>
    <row r="26" spans="1:32" outlineLevel="1" thickBot="1" x14ac:dyDescent="0.3">
      <c r="A26" s="15" t="s">
        <v>84</v>
      </c>
      <c r="B26" s="1668" t="s">
        <v>84</v>
      </c>
      <c r="C26" s="1669" t="s">
        <v>84</v>
      </c>
      <c r="D26" s="1670" t="s">
        <v>84</v>
      </c>
      <c r="E26" s="1662" t="s">
        <v>84</v>
      </c>
      <c r="F26" s="1663" t="s">
        <v>84</v>
      </c>
      <c r="G26" s="1671" t="s">
        <v>84</v>
      </c>
      <c r="H26" s="1224" t="s">
        <v>84</v>
      </c>
      <c r="I26" s="1225" t="s">
        <v>84</v>
      </c>
      <c r="J26" s="1226" t="s">
        <v>84</v>
      </c>
      <c r="K26" s="1227" t="s">
        <v>84</v>
      </c>
      <c r="L26" s="1228" t="s">
        <v>84</v>
      </c>
      <c r="M26" s="85" t="s">
        <v>84</v>
      </c>
      <c r="N26" s="168" t="s">
        <v>84</v>
      </c>
      <c r="O26" s="85" t="s">
        <v>84</v>
      </c>
      <c r="P26" s="85" t="s">
        <v>84</v>
      </c>
      <c r="Q26" s="85" t="s">
        <v>84</v>
      </c>
      <c r="R26" s="2022" t="s">
        <v>84</v>
      </c>
      <c r="S26" s="1227" t="s">
        <v>84</v>
      </c>
      <c r="T26" s="2023" t="s">
        <v>84</v>
      </c>
      <c r="U26" s="2022" t="s">
        <v>84</v>
      </c>
      <c r="V26" s="1227" t="s">
        <v>84</v>
      </c>
      <c r="W26" s="1227" t="s">
        <v>84</v>
      </c>
      <c r="X26" s="2024" t="s">
        <v>84</v>
      </c>
      <c r="Y26" s="168" t="s">
        <v>84</v>
      </c>
      <c r="Z26" s="85" t="s">
        <v>84</v>
      </c>
      <c r="AA26" s="2025" t="s">
        <v>84</v>
      </c>
      <c r="AB26" s="15" t="s">
        <v>84</v>
      </c>
      <c r="AC26" s="15" t="s">
        <v>84</v>
      </c>
      <c r="AD26" s="15" t="s">
        <v>84</v>
      </c>
      <c r="AE26" s="1663" t="s">
        <v>84</v>
      </c>
      <c r="AF26" s="1663" t="s">
        <v>84</v>
      </c>
    </row>
    <row r="27" spans="1:32" s="967" customFormat="1" ht="18" thickBot="1" x14ac:dyDescent="0.3">
      <c r="A27" s="272" t="s">
        <v>294</v>
      </c>
      <c r="B27" s="271"/>
      <c r="C27" s="278"/>
      <c r="D27" s="362" t="s">
        <v>72</v>
      </c>
      <c r="E27" s="383" t="s">
        <v>72</v>
      </c>
      <c r="F27" s="362" t="s">
        <v>72</v>
      </c>
      <c r="G27" s="166">
        <f>SUM(G5:G26)</f>
        <v>174522.88259999998</v>
      </c>
      <c r="H27" s="166">
        <f t="shared" ref="H27:N27" si="2">SUM(H5:H26)</f>
        <v>96966.459570000006</v>
      </c>
      <c r="I27" s="166">
        <f t="shared" si="2"/>
        <v>14277.64248</v>
      </c>
      <c r="J27" s="166">
        <f t="shared" si="2"/>
        <v>1396.2759100000001</v>
      </c>
      <c r="K27" s="166">
        <f t="shared" si="2"/>
        <v>14277.64248</v>
      </c>
      <c r="L27" s="166">
        <f t="shared" si="2"/>
        <v>35328.780549999996</v>
      </c>
      <c r="M27" s="166">
        <f t="shared" si="2"/>
        <v>76114.159029999995</v>
      </c>
      <c r="N27" s="166">
        <f t="shared" si="2"/>
        <v>-26507.736000000001</v>
      </c>
      <c r="O27" s="166">
        <f t="shared" ref="O27:O90" si="3">M27+N27</f>
        <v>49606.423029999991</v>
      </c>
      <c r="P27" s="166">
        <f t="shared" ref="P27:Y27" si="4">SUM(P5:P26)</f>
        <v>27950</v>
      </c>
      <c r="Q27" s="166">
        <f t="shared" si="4"/>
        <v>0</v>
      </c>
      <c r="R27" s="166">
        <f t="shared" si="4"/>
        <v>0</v>
      </c>
      <c r="S27" s="166">
        <f t="shared" si="4"/>
        <v>0</v>
      </c>
      <c r="T27" s="166">
        <f t="shared" si="4"/>
        <v>0</v>
      </c>
      <c r="U27" s="166">
        <f t="shared" si="4"/>
        <v>0</v>
      </c>
      <c r="V27" s="166">
        <f t="shared" si="4"/>
        <v>0</v>
      </c>
      <c r="W27" s="166">
        <f t="shared" si="4"/>
        <v>0</v>
      </c>
      <c r="X27" s="166">
        <f t="shared" si="4"/>
        <v>0</v>
      </c>
      <c r="Y27" s="166">
        <f t="shared" si="4"/>
        <v>0</v>
      </c>
      <c r="Z27" s="7" t="s">
        <v>1650</v>
      </c>
      <c r="AA27" s="7" t="s">
        <v>72</v>
      </c>
      <c r="AB27" s="270" t="s">
        <v>72</v>
      </c>
      <c r="AC27" s="363" t="s">
        <v>72</v>
      </c>
      <c r="AD27" s="7" t="s">
        <v>72</v>
      </c>
      <c r="AE27" s="359" t="s">
        <v>72</v>
      </c>
      <c r="AF27" s="359" t="s">
        <v>72</v>
      </c>
    </row>
    <row r="28" spans="1:32" ht="40.200000000000003" outlineLevel="1" thickBot="1" x14ac:dyDescent="0.3">
      <c r="A28" s="562" t="s">
        <v>205</v>
      </c>
      <c r="B28" s="468" t="s">
        <v>302</v>
      </c>
      <c r="C28" s="563" t="s">
        <v>9</v>
      </c>
      <c r="D28" s="67" t="s">
        <v>1017</v>
      </c>
      <c r="E28" s="290" t="s">
        <v>4</v>
      </c>
      <c r="F28" s="286" t="s">
        <v>4</v>
      </c>
      <c r="G28" s="564">
        <f>16659.59+29+23+1800+400+802+200-500+2000+8165</f>
        <v>29578.59</v>
      </c>
      <c r="H28" s="565">
        <v>26442.894</v>
      </c>
      <c r="I28" s="953">
        <v>562.65</v>
      </c>
      <c r="J28" s="954">
        <v>0</v>
      </c>
      <c r="K28" s="566">
        <v>562.65</v>
      </c>
      <c r="L28" s="567">
        <f>O28-K28</f>
        <v>0</v>
      </c>
      <c r="M28" s="479">
        <v>3135.6959999999999</v>
      </c>
      <c r="N28" s="478">
        <v>-2573.0459999999998</v>
      </c>
      <c r="O28" s="478">
        <f t="shared" si="3"/>
        <v>562.65000000000009</v>
      </c>
      <c r="P28" s="569">
        <v>1573.046</v>
      </c>
      <c r="Q28" s="570">
        <v>1000</v>
      </c>
      <c r="R28" s="568">
        <v>0</v>
      </c>
      <c r="S28" s="571">
        <v>0</v>
      </c>
      <c r="T28" s="567">
        <v>0</v>
      </c>
      <c r="U28" s="473">
        <v>0</v>
      </c>
      <c r="V28" s="560">
        <v>0</v>
      </c>
      <c r="W28" s="560">
        <v>0</v>
      </c>
      <c r="X28" s="572">
        <v>0</v>
      </c>
      <c r="Y28" s="573">
        <v>0</v>
      </c>
      <c r="Z28" s="67" t="s">
        <v>1681</v>
      </c>
      <c r="AA28" s="67" t="s">
        <v>8</v>
      </c>
      <c r="AB28" s="574" t="s">
        <v>450</v>
      </c>
      <c r="AC28" s="574" t="s">
        <v>80</v>
      </c>
      <c r="AD28" s="183" t="s">
        <v>89</v>
      </c>
      <c r="AE28" s="286" t="s">
        <v>75</v>
      </c>
      <c r="AF28" s="286" t="s">
        <v>72</v>
      </c>
    </row>
    <row r="29" spans="1:32" ht="40.200000000000003" outlineLevel="1" thickBot="1" x14ac:dyDescent="0.3">
      <c r="A29" s="575" t="s">
        <v>206</v>
      </c>
      <c r="B29" s="576" t="s">
        <v>303</v>
      </c>
      <c r="C29" s="577" t="s">
        <v>11</v>
      </c>
      <c r="D29" s="578" t="s">
        <v>1018</v>
      </c>
      <c r="E29" s="579" t="s">
        <v>4</v>
      </c>
      <c r="F29" s="580" t="s">
        <v>4</v>
      </c>
      <c r="G29" s="581">
        <f>1182.025+540.2+700+2000+6000+17.92195+48.94916+2000+2000+5000+7000</f>
        <v>26489.096109999999</v>
      </c>
      <c r="H29" s="582">
        <v>5672.3045299999994</v>
      </c>
      <c r="I29" s="583">
        <v>1365.9894200000001</v>
      </c>
      <c r="J29" s="584">
        <v>882.81600000000003</v>
      </c>
      <c r="K29" s="585">
        <v>1365.9894200000001</v>
      </c>
      <c r="L29" s="586">
        <f>O29-K29</f>
        <v>5643.0105799999992</v>
      </c>
      <c r="M29" s="589">
        <v>10816.791579999999</v>
      </c>
      <c r="N29" s="590">
        <v>-3807.7915800000001</v>
      </c>
      <c r="O29" s="590">
        <f t="shared" si="3"/>
        <v>7008.9999999999991</v>
      </c>
      <c r="P29" s="588">
        <f>3807.79158+7000</f>
        <v>10807.791580000001</v>
      </c>
      <c r="Q29" s="591">
        <v>3000</v>
      </c>
      <c r="R29" s="587">
        <v>0</v>
      </c>
      <c r="S29" s="592">
        <v>0</v>
      </c>
      <c r="T29" s="593">
        <v>0</v>
      </c>
      <c r="U29" s="594">
        <v>0</v>
      </c>
      <c r="V29" s="595">
        <v>0</v>
      </c>
      <c r="W29" s="595">
        <v>0</v>
      </c>
      <c r="X29" s="596">
        <v>0</v>
      </c>
      <c r="Y29" s="597">
        <v>0</v>
      </c>
      <c r="Z29" s="578" t="s">
        <v>1664</v>
      </c>
      <c r="AA29" s="598" t="s">
        <v>6</v>
      </c>
      <c r="AB29" s="599" t="s">
        <v>450</v>
      </c>
      <c r="AC29" s="599" t="s">
        <v>80</v>
      </c>
      <c r="AD29" s="600" t="s">
        <v>89</v>
      </c>
      <c r="AE29" s="580" t="s">
        <v>75</v>
      </c>
      <c r="AF29" s="580" t="s">
        <v>72</v>
      </c>
    </row>
    <row r="30" spans="1:32" ht="31.8" outlineLevel="1" thickBot="1" x14ac:dyDescent="0.3">
      <c r="A30" s="562" t="s">
        <v>207</v>
      </c>
      <c r="B30" s="468" t="s">
        <v>304</v>
      </c>
      <c r="C30" s="563" t="s">
        <v>12</v>
      </c>
      <c r="D30" s="67" t="s">
        <v>77</v>
      </c>
      <c r="E30" s="290" t="s">
        <v>4</v>
      </c>
      <c r="F30" s="286" t="s">
        <v>4</v>
      </c>
      <c r="G30" s="564">
        <f>25400-500-4300-700+2000+217.99512</f>
        <v>22117.99512</v>
      </c>
      <c r="H30" s="565">
        <v>20747.4735</v>
      </c>
      <c r="I30" s="953">
        <v>0</v>
      </c>
      <c r="J30" s="954">
        <v>202.10872000000001</v>
      </c>
      <c r="K30" s="566">
        <v>0</v>
      </c>
      <c r="L30" s="567">
        <f>O30-K30</f>
        <v>202.10871999999995</v>
      </c>
      <c r="M30" s="479">
        <v>1370.52162</v>
      </c>
      <c r="N30" s="478">
        <v>-1168.4129</v>
      </c>
      <c r="O30" s="478">
        <f t="shared" si="3"/>
        <v>202.10871999999995</v>
      </c>
      <c r="P30" s="569">
        <v>1168.4129</v>
      </c>
      <c r="Q30" s="570">
        <v>0</v>
      </c>
      <c r="R30" s="568">
        <v>0</v>
      </c>
      <c r="S30" s="571">
        <v>0</v>
      </c>
      <c r="T30" s="567">
        <v>0</v>
      </c>
      <c r="U30" s="473">
        <v>0</v>
      </c>
      <c r="V30" s="560">
        <v>0</v>
      </c>
      <c r="W30" s="560">
        <v>0</v>
      </c>
      <c r="X30" s="572">
        <v>0</v>
      </c>
      <c r="Y30" s="573">
        <v>0</v>
      </c>
      <c r="Z30" s="67" t="s">
        <v>1665</v>
      </c>
      <c r="AA30" s="67" t="s">
        <v>8</v>
      </c>
      <c r="AB30" s="574" t="s">
        <v>450</v>
      </c>
      <c r="AC30" s="574" t="s">
        <v>80</v>
      </c>
      <c r="AD30" s="183" t="s">
        <v>89</v>
      </c>
      <c r="AE30" s="286" t="s">
        <v>75</v>
      </c>
      <c r="AF30" s="286" t="s">
        <v>72</v>
      </c>
    </row>
    <row r="31" spans="1:32" ht="40.200000000000003" outlineLevel="1" thickBot="1" x14ac:dyDescent="0.3">
      <c r="A31" s="575" t="s">
        <v>208</v>
      </c>
      <c r="B31" s="576" t="s">
        <v>305</v>
      </c>
      <c r="C31" s="577" t="s">
        <v>188</v>
      </c>
      <c r="D31" s="578" t="s">
        <v>77</v>
      </c>
      <c r="E31" s="579" t="s">
        <v>4</v>
      </c>
      <c r="F31" s="580" t="s">
        <v>4</v>
      </c>
      <c r="G31" s="581">
        <f>2000+406+2500+3200+2000+643.45187+1000</f>
        <v>11749.451870000001</v>
      </c>
      <c r="H31" s="582">
        <v>6742.70478</v>
      </c>
      <c r="I31" s="583">
        <v>0</v>
      </c>
      <c r="J31" s="584">
        <v>0</v>
      </c>
      <c r="K31" s="585">
        <v>0</v>
      </c>
      <c r="L31" s="586">
        <f>O31-K31</f>
        <v>0</v>
      </c>
      <c r="M31" s="589">
        <v>4006.7470899999998</v>
      </c>
      <c r="N31" s="590">
        <v>-4006.7470899999998</v>
      </c>
      <c r="O31" s="590">
        <f t="shared" si="3"/>
        <v>0</v>
      </c>
      <c r="P31" s="591">
        <v>3006.7470899999998</v>
      </c>
      <c r="Q31" s="591">
        <v>2000</v>
      </c>
      <c r="R31" s="587">
        <v>0</v>
      </c>
      <c r="S31" s="592">
        <v>0</v>
      </c>
      <c r="T31" s="593">
        <v>0</v>
      </c>
      <c r="U31" s="594">
        <v>0</v>
      </c>
      <c r="V31" s="595">
        <v>0</v>
      </c>
      <c r="W31" s="595">
        <v>0</v>
      </c>
      <c r="X31" s="596">
        <v>0</v>
      </c>
      <c r="Y31" s="601">
        <v>0</v>
      </c>
      <c r="Z31" s="578" t="s">
        <v>1666</v>
      </c>
      <c r="AA31" s="578" t="s">
        <v>8</v>
      </c>
      <c r="AB31" s="600" t="s">
        <v>450</v>
      </c>
      <c r="AC31" s="599" t="s">
        <v>80</v>
      </c>
      <c r="AD31" s="600" t="s">
        <v>89</v>
      </c>
      <c r="AE31" s="580" t="s">
        <v>75</v>
      </c>
      <c r="AF31" s="580" t="s">
        <v>72</v>
      </c>
    </row>
    <row r="32" spans="1:32" ht="27" outlineLevel="1" thickBot="1" x14ac:dyDescent="0.3">
      <c r="A32" s="575" t="s">
        <v>209</v>
      </c>
      <c r="B32" s="576" t="s">
        <v>306</v>
      </c>
      <c r="C32" s="577" t="s">
        <v>353</v>
      </c>
      <c r="D32" s="578" t="s">
        <v>77</v>
      </c>
      <c r="E32" s="579" t="s">
        <v>4</v>
      </c>
      <c r="F32" s="580" t="s">
        <v>4</v>
      </c>
      <c r="G32" s="581">
        <f>3000-406+500+1000+1000</f>
        <v>5094</v>
      </c>
      <c r="H32" s="582">
        <v>593.38</v>
      </c>
      <c r="I32" s="583">
        <v>1954.1984</v>
      </c>
      <c r="J32" s="584">
        <v>0</v>
      </c>
      <c r="K32" s="585">
        <v>1954.1984</v>
      </c>
      <c r="L32" s="586">
        <f>O32-K32</f>
        <v>501.00000000000023</v>
      </c>
      <c r="M32" s="589">
        <v>3500.62</v>
      </c>
      <c r="N32" s="590">
        <v>-1045.4215999999999</v>
      </c>
      <c r="O32" s="590">
        <f t="shared" si="3"/>
        <v>2455.1984000000002</v>
      </c>
      <c r="P32" s="588">
        <v>2045.4215999999999</v>
      </c>
      <c r="Q32" s="591">
        <v>0</v>
      </c>
      <c r="R32" s="587">
        <v>0</v>
      </c>
      <c r="S32" s="592">
        <v>0</v>
      </c>
      <c r="T32" s="593">
        <v>0</v>
      </c>
      <c r="U32" s="594">
        <v>0</v>
      </c>
      <c r="V32" s="595">
        <v>0</v>
      </c>
      <c r="W32" s="595">
        <v>0</v>
      </c>
      <c r="X32" s="596">
        <v>0</v>
      </c>
      <c r="Y32" s="597">
        <v>0</v>
      </c>
      <c r="Z32" s="578" t="s">
        <v>1667</v>
      </c>
      <c r="AA32" s="598" t="s">
        <v>10</v>
      </c>
      <c r="AB32" s="599" t="s">
        <v>450</v>
      </c>
      <c r="AC32" s="599" t="s">
        <v>80</v>
      </c>
      <c r="AD32" s="600" t="s">
        <v>89</v>
      </c>
      <c r="AE32" s="580" t="s">
        <v>75</v>
      </c>
      <c r="AF32" s="580" t="s">
        <v>72</v>
      </c>
    </row>
    <row r="33" spans="1:32" ht="27" outlineLevel="1" thickBot="1" x14ac:dyDescent="0.3">
      <c r="A33" s="29" t="s">
        <v>565</v>
      </c>
      <c r="B33" s="1672" t="s">
        <v>75</v>
      </c>
      <c r="C33" s="1673" t="s">
        <v>563</v>
      </c>
      <c r="D33" s="1674" t="s">
        <v>1007</v>
      </c>
      <c r="E33" s="1675" t="s">
        <v>4</v>
      </c>
      <c r="F33" s="1676" t="s">
        <v>4</v>
      </c>
      <c r="G33" s="1677">
        <v>0</v>
      </c>
      <c r="H33" s="1229">
        <v>0</v>
      </c>
      <c r="I33" s="1230">
        <v>0</v>
      </c>
      <c r="J33" s="1231">
        <v>0</v>
      </c>
      <c r="K33" s="1232">
        <v>0</v>
      </c>
      <c r="L33" s="1233">
        <v>0</v>
      </c>
      <c r="M33" s="1234">
        <v>2000</v>
      </c>
      <c r="N33" s="182">
        <v>-2000</v>
      </c>
      <c r="O33" s="2026">
        <f t="shared" si="3"/>
        <v>0</v>
      </c>
      <c r="P33" s="2027">
        <v>0</v>
      </c>
      <c r="Q33" s="2028">
        <v>0</v>
      </c>
      <c r="R33" s="2029">
        <v>0</v>
      </c>
      <c r="S33" s="2030">
        <v>0</v>
      </c>
      <c r="T33" s="2028">
        <v>0</v>
      </c>
      <c r="U33" s="1349">
        <v>0</v>
      </c>
      <c r="V33" s="1351">
        <v>0</v>
      </c>
      <c r="W33" s="1351">
        <v>0</v>
      </c>
      <c r="X33" s="2031">
        <v>0</v>
      </c>
      <c r="Y33" s="2032">
        <v>0</v>
      </c>
      <c r="Z33" s="1674" t="s">
        <v>564</v>
      </c>
      <c r="AA33" s="2033" t="s">
        <v>81</v>
      </c>
      <c r="AB33" s="2034" t="s">
        <v>382</v>
      </c>
      <c r="AC33" s="2034" t="s">
        <v>79</v>
      </c>
      <c r="AD33" s="2035" t="s">
        <v>89</v>
      </c>
      <c r="AE33" s="1676" t="s">
        <v>75</v>
      </c>
      <c r="AF33" s="1676" t="s">
        <v>72</v>
      </c>
    </row>
    <row r="34" spans="1:32" ht="27" outlineLevel="1" thickBot="1" x14ac:dyDescent="0.3">
      <c r="A34" s="602" t="s">
        <v>913</v>
      </c>
      <c r="B34" s="603" t="s">
        <v>75</v>
      </c>
      <c r="C34" s="604" t="s">
        <v>914</v>
      </c>
      <c r="D34" s="143" t="s">
        <v>1056</v>
      </c>
      <c r="E34" s="968" t="s">
        <v>4</v>
      </c>
      <c r="F34" s="969" t="s">
        <v>4</v>
      </c>
      <c r="G34" s="125">
        <v>17000</v>
      </c>
      <c r="H34" s="103">
        <v>0</v>
      </c>
      <c r="I34" s="970">
        <v>0</v>
      </c>
      <c r="J34" s="971">
        <v>0</v>
      </c>
      <c r="K34" s="556">
        <v>0</v>
      </c>
      <c r="L34" s="605">
        <f>O34-K34</f>
        <v>0</v>
      </c>
      <c r="M34" s="606">
        <v>17000</v>
      </c>
      <c r="N34" s="559">
        <v>-17000</v>
      </c>
      <c r="O34" s="559">
        <f t="shared" si="3"/>
        <v>0</v>
      </c>
      <c r="P34" s="66">
        <v>17000</v>
      </c>
      <c r="Q34" s="68">
        <v>0</v>
      </c>
      <c r="R34" s="557">
        <v>0</v>
      </c>
      <c r="S34" s="201">
        <v>0</v>
      </c>
      <c r="T34" s="68">
        <v>0</v>
      </c>
      <c r="U34" s="607">
        <v>0</v>
      </c>
      <c r="V34" s="475">
        <v>0</v>
      </c>
      <c r="W34" s="475">
        <v>0</v>
      </c>
      <c r="X34" s="521">
        <v>0</v>
      </c>
      <c r="Y34" s="474">
        <v>0</v>
      </c>
      <c r="Z34" s="143" t="s">
        <v>1668</v>
      </c>
      <c r="AA34" s="186" t="s">
        <v>8</v>
      </c>
      <c r="AB34" s="608" t="s">
        <v>450</v>
      </c>
      <c r="AC34" s="608" t="s">
        <v>79</v>
      </c>
      <c r="AD34" s="331" t="s">
        <v>89</v>
      </c>
      <c r="AE34" s="969" t="s">
        <v>75</v>
      </c>
      <c r="AF34" s="969" t="s">
        <v>72</v>
      </c>
    </row>
    <row r="35" spans="1:32" ht="26.4" outlineLevel="1" x14ac:dyDescent="0.25">
      <c r="A35" s="225" t="s">
        <v>1047</v>
      </c>
      <c r="B35" s="1640" t="s">
        <v>1230</v>
      </c>
      <c r="C35" s="1641" t="s">
        <v>1049</v>
      </c>
      <c r="D35" s="1642" t="s">
        <v>1219</v>
      </c>
      <c r="E35" s="1678" t="s">
        <v>4</v>
      </c>
      <c r="F35" s="1644" t="s">
        <v>4</v>
      </c>
      <c r="G35" s="1499">
        <v>50000</v>
      </c>
      <c r="H35" s="1164">
        <v>0</v>
      </c>
      <c r="I35" s="1165">
        <v>0</v>
      </c>
      <c r="J35" s="1166">
        <v>0</v>
      </c>
      <c r="K35" s="1235">
        <v>0</v>
      </c>
      <c r="L35" s="1236">
        <f>O35-K35</f>
        <v>0</v>
      </c>
      <c r="M35" s="1169">
        <v>0</v>
      </c>
      <c r="N35" s="229">
        <v>0</v>
      </c>
      <c r="O35" s="1617">
        <f t="shared" si="3"/>
        <v>0</v>
      </c>
      <c r="P35" s="2036">
        <v>50000</v>
      </c>
      <c r="Q35" s="2037">
        <v>0</v>
      </c>
      <c r="R35" s="2038">
        <v>0</v>
      </c>
      <c r="S35" s="2039">
        <v>0</v>
      </c>
      <c r="T35" s="2037">
        <v>0</v>
      </c>
      <c r="U35" s="1237">
        <v>0</v>
      </c>
      <c r="V35" s="1184">
        <v>0</v>
      </c>
      <c r="W35" s="1184">
        <v>0</v>
      </c>
      <c r="X35" s="1999">
        <v>0</v>
      </c>
      <c r="Y35" s="1618">
        <v>0</v>
      </c>
      <c r="Z35" s="1642" t="s">
        <v>1048</v>
      </c>
      <c r="AA35" s="2001" t="s">
        <v>6</v>
      </c>
      <c r="AB35" s="2040" t="s">
        <v>382</v>
      </c>
      <c r="AC35" s="2040" t="s">
        <v>80</v>
      </c>
      <c r="AD35" s="2041" t="s">
        <v>89</v>
      </c>
      <c r="AE35" s="1644" t="s">
        <v>75</v>
      </c>
      <c r="AF35" s="1644" t="s">
        <v>72</v>
      </c>
    </row>
    <row r="36" spans="1:32" outlineLevel="1" thickBot="1" x14ac:dyDescent="0.3">
      <c r="A36" s="20" t="s">
        <v>84</v>
      </c>
      <c r="B36" s="269" t="s">
        <v>84</v>
      </c>
      <c r="C36" s="1679" t="s">
        <v>84</v>
      </c>
      <c r="D36" s="78" t="s">
        <v>84</v>
      </c>
      <c r="E36" s="164" t="s">
        <v>84</v>
      </c>
      <c r="F36" s="203" t="s">
        <v>84</v>
      </c>
      <c r="G36" s="972" t="s">
        <v>84</v>
      </c>
      <c r="H36" s="973" t="s">
        <v>84</v>
      </c>
      <c r="I36" s="974" t="s">
        <v>84</v>
      </c>
      <c r="J36" s="975" t="s">
        <v>84</v>
      </c>
      <c r="K36" s="86" t="s">
        <v>84</v>
      </c>
      <c r="L36" s="410" t="s">
        <v>84</v>
      </c>
      <c r="M36" s="38" t="s">
        <v>84</v>
      </c>
      <c r="N36" s="79" t="s">
        <v>84</v>
      </c>
      <c r="O36" s="38" t="s">
        <v>84</v>
      </c>
      <c r="P36" s="38" t="s">
        <v>84</v>
      </c>
      <c r="Q36" s="83" t="s">
        <v>84</v>
      </c>
      <c r="R36" s="120" t="s">
        <v>84</v>
      </c>
      <c r="S36" s="84" t="s">
        <v>84</v>
      </c>
      <c r="T36" s="83" t="s">
        <v>84</v>
      </c>
      <c r="U36" s="120" t="s">
        <v>84</v>
      </c>
      <c r="V36" s="86" t="s">
        <v>84</v>
      </c>
      <c r="W36" s="86" t="s">
        <v>84</v>
      </c>
      <c r="X36" s="84" t="s">
        <v>84</v>
      </c>
      <c r="Y36" s="79" t="s">
        <v>84</v>
      </c>
      <c r="Z36" s="38" t="s">
        <v>84</v>
      </c>
      <c r="AA36" s="2021" t="s">
        <v>84</v>
      </c>
      <c r="AB36" s="2042" t="s">
        <v>84</v>
      </c>
      <c r="AC36" s="2042" t="s">
        <v>84</v>
      </c>
      <c r="AD36" s="146" t="s">
        <v>84</v>
      </c>
      <c r="AE36" s="203" t="s">
        <v>84</v>
      </c>
      <c r="AF36" s="203" t="s">
        <v>84</v>
      </c>
    </row>
    <row r="37" spans="1:32" s="967" customFormat="1" ht="18" thickBot="1" x14ac:dyDescent="0.3">
      <c r="A37" s="272" t="s">
        <v>98</v>
      </c>
      <c r="B37" s="273"/>
      <c r="C37" s="279"/>
      <c r="D37" s="7" t="s">
        <v>72</v>
      </c>
      <c r="E37" s="13" t="s">
        <v>72</v>
      </c>
      <c r="F37" s="7" t="s">
        <v>72</v>
      </c>
      <c r="G37" s="166">
        <f>SUM(G28:G36)</f>
        <v>162029.13309999998</v>
      </c>
      <c r="H37" s="166">
        <f t="shared" ref="H37:Y37" si="5">SUM(H28:H36)</f>
        <v>60198.756809999999</v>
      </c>
      <c r="I37" s="166">
        <f t="shared" si="5"/>
        <v>3882.8378199999997</v>
      </c>
      <c r="J37" s="166">
        <f t="shared" si="5"/>
        <v>1084.92472</v>
      </c>
      <c r="K37" s="166">
        <f t="shared" si="5"/>
        <v>3882.8378199999997</v>
      </c>
      <c r="L37" s="166">
        <f t="shared" si="5"/>
        <v>6346.1192999999994</v>
      </c>
      <c r="M37" s="166">
        <f t="shared" si="5"/>
        <v>41830.37629</v>
      </c>
      <c r="N37" s="166">
        <f t="shared" si="5"/>
        <v>-31601.419170000001</v>
      </c>
      <c r="O37" s="166">
        <f t="shared" si="3"/>
        <v>10228.957119999999</v>
      </c>
      <c r="P37" s="166">
        <f t="shared" si="5"/>
        <v>85601.419170000008</v>
      </c>
      <c r="Q37" s="166">
        <f t="shared" si="5"/>
        <v>6000</v>
      </c>
      <c r="R37" s="166">
        <f t="shared" si="5"/>
        <v>0</v>
      </c>
      <c r="S37" s="166">
        <f t="shared" si="5"/>
        <v>0</v>
      </c>
      <c r="T37" s="166">
        <f t="shared" si="5"/>
        <v>0</v>
      </c>
      <c r="U37" s="166">
        <f t="shared" si="5"/>
        <v>0</v>
      </c>
      <c r="V37" s="166">
        <f t="shared" si="5"/>
        <v>0</v>
      </c>
      <c r="W37" s="166">
        <f t="shared" si="5"/>
        <v>0</v>
      </c>
      <c r="X37" s="166">
        <f t="shared" si="5"/>
        <v>0</v>
      </c>
      <c r="Y37" s="166">
        <f t="shared" si="5"/>
        <v>0</v>
      </c>
      <c r="Z37" s="7" t="s">
        <v>1960</v>
      </c>
      <c r="AA37" s="7" t="s">
        <v>72</v>
      </c>
      <c r="AB37" s="363" t="s">
        <v>72</v>
      </c>
      <c r="AC37" s="363" t="s">
        <v>72</v>
      </c>
      <c r="AD37" s="7" t="s">
        <v>72</v>
      </c>
      <c r="AE37" s="7" t="s">
        <v>72</v>
      </c>
      <c r="AF37" s="7" t="s">
        <v>72</v>
      </c>
    </row>
    <row r="38" spans="1:32" ht="26.4" outlineLevel="1" x14ac:dyDescent="0.25">
      <c r="A38" s="1053" t="s">
        <v>210</v>
      </c>
      <c r="B38" s="1054" t="s">
        <v>307</v>
      </c>
      <c r="C38" s="1055" t="s">
        <v>150</v>
      </c>
      <c r="D38" s="40" t="s">
        <v>1019</v>
      </c>
      <c r="E38" s="52" t="s">
        <v>4</v>
      </c>
      <c r="F38" s="883" t="s">
        <v>4</v>
      </c>
      <c r="G38" s="44">
        <f>219905+250000</f>
        <v>469905</v>
      </c>
      <c r="H38" s="150">
        <v>264573.58469000005</v>
      </c>
      <c r="I38" s="1056">
        <v>5888.2240000000002</v>
      </c>
      <c r="J38" s="1031">
        <v>11035.244999999999</v>
      </c>
      <c r="K38" s="803">
        <v>5888.2240000000002</v>
      </c>
      <c r="L38" s="806">
        <f t="shared" ref="L38:L67" si="6">O38-K38</f>
        <v>14443.191309999997</v>
      </c>
      <c r="M38" s="135">
        <v>25331.415309999997</v>
      </c>
      <c r="N38" s="622">
        <v>-5000</v>
      </c>
      <c r="O38" s="794">
        <f t="shared" si="3"/>
        <v>20331.415309999997</v>
      </c>
      <c r="P38" s="802">
        <v>40000</v>
      </c>
      <c r="Q38" s="1033">
        <f>125000+15000+5000</f>
        <v>145000</v>
      </c>
      <c r="R38" s="803">
        <v>0</v>
      </c>
      <c r="S38" s="1035">
        <v>0</v>
      </c>
      <c r="T38" s="1033">
        <v>0</v>
      </c>
      <c r="U38" s="803">
        <v>0</v>
      </c>
      <c r="V38" s="454">
        <v>0</v>
      </c>
      <c r="W38" s="454">
        <v>0</v>
      </c>
      <c r="X38" s="1035">
        <v>0</v>
      </c>
      <c r="Y38" s="392">
        <v>0</v>
      </c>
      <c r="Z38" s="41" t="s">
        <v>1872</v>
      </c>
      <c r="AA38" s="46" t="s">
        <v>10</v>
      </c>
      <c r="AB38" s="1057" t="s">
        <v>78</v>
      </c>
      <c r="AC38" s="1057" t="s">
        <v>80</v>
      </c>
      <c r="AD38" s="114" t="s">
        <v>89</v>
      </c>
      <c r="AE38" s="883" t="s">
        <v>75</v>
      </c>
      <c r="AF38" s="883"/>
    </row>
    <row r="39" spans="1:32" ht="31.2" outlineLevel="1" x14ac:dyDescent="0.25">
      <c r="A39" s="1058" t="s">
        <v>211</v>
      </c>
      <c r="B39" s="1059" t="s">
        <v>308</v>
      </c>
      <c r="C39" s="1060" t="s">
        <v>13</v>
      </c>
      <c r="D39" s="41" t="s">
        <v>1020</v>
      </c>
      <c r="E39" s="32" t="s">
        <v>4</v>
      </c>
      <c r="F39" s="957" t="s">
        <v>4</v>
      </c>
      <c r="G39" s="47">
        <f>393116.17+102000+10000+18000+140000</f>
        <v>663116.16999999993</v>
      </c>
      <c r="H39" s="1061">
        <v>568768.47970999987</v>
      </c>
      <c r="I39" s="958">
        <v>14491.284369999999</v>
      </c>
      <c r="J39" s="1062">
        <v>4838.9209200000005</v>
      </c>
      <c r="K39" s="463">
        <v>14491.284369999999</v>
      </c>
      <c r="L39" s="654">
        <f t="shared" si="6"/>
        <v>12856.405919999999</v>
      </c>
      <c r="M39" s="460">
        <v>30347.690289999999</v>
      </c>
      <c r="N39" s="462">
        <v>-3000</v>
      </c>
      <c r="O39" s="462">
        <f t="shared" si="3"/>
        <v>27347.690289999999</v>
      </c>
      <c r="P39" s="460">
        <v>40000</v>
      </c>
      <c r="Q39" s="465">
        <v>27000</v>
      </c>
      <c r="R39" s="463">
        <v>0</v>
      </c>
      <c r="S39" s="820">
        <v>0</v>
      </c>
      <c r="T39" s="465">
        <v>0</v>
      </c>
      <c r="U39" s="463">
        <v>0</v>
      </c>
      <c r="V39" s="454">
        <v>0</v>
      </c>
      <c r="W39" s="454">
        <v>0</v>
      </c>
      <c r="X39" s="820">
        <v>0</v>
      </c>
      <c r="Y39" s="797">
        <v>0</v>
      </c>
      <c r="Z39" s="41" t="s">
        <v>1873</v>
      </c>
      <c r="AA39" s="41" t="s">
        <v>10</v>
      </c>
      <c r="AB39" s="466" t="s">
        <v>78</v>
      </c>
      <c r="AC39" s="655" t="s">
        <v>80</v>
      </c>
      <c r="AD39" s="49" t="s">
        <v>89</v>
      </c>
      <c r="AE39" s="957" t="s">
        <v>75</v>
      </c>
      <c r="AF39" s="957"/>
    </row>
    <row r="40" spans="1:32" s="952" customFormat="1" ht="31.8" outlineLevel="1" thickBot="1" x14ac:dyDescent="0.3">
      <c r="A40" s="552" t="s">
        <v>212</v>
      </c>
      <c r="B40" s="872" t="s">
        <v>75</v>
      </c>
      <c r="C40" s="815" t="s">
        <v>16</v>
      </c>
      <c r="D40" s="56" t="s">
        <v>1021</v>
      </c>
      <c r="E40" s="983" t="s">
        <v>14</v>
      </c>
      <c r="F40" s="984" t="s">
        <v>14</v>
      </c>
      <c r="G40" s="57">
        <f>13323+36677</f>
        <v>50000</v>
      </c>
      <c r="H40" s="1063">
        <v>0</v>
      </c>
      <c r="I40" s="1064">
        <v>0</v>
      </c>
      <c r="J40" s="1065">
        <v>0</v>
      </c>
      <c r="K40" s="670">
        <v>0</v>
      </c>
      <c r="L40" s="669">
        <f t="shared" si="6"/>
        <v>0</v>
      </c>
      <c r="M40" s="606">
        <v>25000</v>
      </c>
      <c r="N40" s="559">
        <v>-25000</v>
      </c>
      <c r="O40" s="559">
        <f t="shared" si="3"/>
        <v>0</v>
      </c>
      <c r="P40" s="672">
        <v>25000</v>
      </c>
      <c r="Q40" s="672">
        <v>25000</v>
      </c>
      <c r="R40" s="670">
        <v>0</v>
      </c>
      <c r="S40" s="819">
        <v>0</v>
      </c>
      <c r="T40" s="671">
        <v>0</v>
      </c>
      <c r="U40" s="607">
        <v>0</v>
      </c>
      <c r="V40" s="475">
        <v>0</v>
      </c>
      <c r="W40" s="475">
        <v>0</v>
      </c>
      <c r="X40" s="521">
        <v>0</v>
      </c>
      <c r="Y40" s="476">
        <v>0</v>
      </c>
      <c r="Z40" s="56" t="s">
        <v>1874</v>
      </c>
      <c r="AA40" s="56" t="s">
        <v>6</v>
      </c>
      <c r="AB40" s="561" t="s">
        <v>735</v>
      </c>
      <c r="AC40" s="561" t="s">
        <v>79</v>
      </c>
      <c r="AD40" s="112" t="s">
        <v>89</v>
      </c>
      <c r="AE40" s="984" t="s">
        <v>241</v>
      </c>
      <c r="AF40" s="984" t="s">
        <v>647</v>
      </c>
    </row>
    <row r="41" spans="1:32" ht="31.2" outlineLevel="1" x14ac:dyDescent="0.25">
      <c r="A41" s="423" t="s">
        <v>70</v>
      </c>
      <c r="B41" s="1680" t="s">
        <v>309</v>
      </c>
      <c r="C41" s="1681" t="s">
        <v>86</v>
      </c>
      <c r="D41" s="1642" t="s">
        <v>1022</v>
      </c>
      <c r="E41" s="1678" t="s">
        <v>14</v>
      </c>
      <c r="F41" s="1644" t="s">
        <v>14</v>
      </c>
      <c r="G41" s="1499">
        <v>171855</v>
      </c>
      <c r="H41" s="1181">
        <v>93932.643500000006</v>
      </c>
      <c r="I41" s="1182">
        <v>0</v>
      </c>
      <c r="J41" s="1188">
        <v>20982.945649999998</v>
      </c>
      <c r="K41" s="1237">
        <v>0</v>
      </c>
      <c r="L41" s="1238">
        <f t="shared" si="6"/>
        <v>40000.356499999994</v>
      </c>
      <c r="M41" s="1169">
        <v>40000.356499999994</v>
      </c>
      <c r="N41" s="229">
        <v>0</v>
      </c>
      <c r="O41" s="1617">
        <f t="shared" si="3"/>
        <v>40000.356499999994</v>
      </c>
      <c r="P41" s="1169">
        <f>36335+1587</f>
        <v>37922</v>
      </c>
      <c r="Q41" s="1169">
        <v>0</v>
      </c>
      <c r="R41" s="1237">
        <v>0</v>
      </c>
      <c r="S41" s="1999">
        <v>0</v>
      </c>
      <c r="T41" s="1618">
        <v>0</v>
      </c>
      <c r="U41" s="1237">
        <v>0</v>
      </c>
      <c r="V41" s="1184">
        <v>0</v>
      </c>
      <c r="W41" s="1184">
        <v>0</v>
      </c>
      <c r="X41" s="1999">
        <v>0</v>
      </c>
      <c r="Y41" s="1238">
        <v>0</v>
      </c>
      <c r="Z41" s="1642" t="s">
        <v>746</v>
      </c>
      <c r="AA41" s="1642" t="s">
        <v>10</v>
      </c>
      <c r="AB41" s="2043" t="s">
        <v>78</v>
      </c>
      <c r="AC41" s="2043" t="s">
        <v>80</v>
      </c>
      <c r="AD41" s="2002" t="s">
        <v>89</v>
      </c>
      <c r="AE41" s="1644" t="s">
        <v>75</v>
      </c>
      <c r="AF41" s="1644"/>
    </row>
    <row r="42" spans="1:32" s="952" customFormat="1" ht="27" outlineLevel="1" thickBot="1" x14ac:dyDescent="0.3">
      <c r="A42" s="552" t="s">
        <v>71</v>
      </c>
      <c r="B42" s="872" t="s">
        <v>1476</v>
      </c>
      <c r="C42" s="815" t="s">
        <v>67</v>
      </c>
      <c r="D42" s="56" t="s">
        <v>1022</v>
      </c>
      <c r="E42" s="983" t="s">
        <v>14</v>
      </c>
      <c r="F42" s="984" t="s">
        <v>14</v>
      </c>
      <c r="G42" s="57">
        <v>10599.735420000001</v>
      </c>
      <c r="H42" s="1066">
        <v>0</v>
      </c>
      <c r="I42" s="1067">
        <v>387.44200000000001</v>
      </c>
      <c r="J42" s="1068">
        <v>0</v>
      </c>
      <c r="K42" s="670">
        <v>387.44200000000001</v>
      </c>
      <c r="L42" s="791">
        <f t="shared" si="6"/>
        <v>612.29342000000088</v>
      </c>
      <c r="M42" s="672">
        <v>4999.7354200000009</v>
      </c>
      <c r="N42" s="559">
        <v>-4000</v>
      </c>
      <c r="O42" s="559">
        <f t="shared" si="3"/>
        <v>999.73542000000089</v>
      </c>
      <c r="P42" s="672">
        <v>9600</v>
      </c>
      <c r="Q42" s="606">
        <v>0</v>
      </c>
      <c r="R42" s="607">
        <v>0</v>
      </c>
      <c r="S42" s="521">
        <v>0</v>
      </c>
      <c r="T42" s="671">
        <v>0</v>
      </c>
      <c r="U42" s="607">
        <v>0</v>
      </c>
      <c r="V42" s="475">
        <v>0</v>
      </c>
      <c r="W42" s="475">
        <v>0</v>
      </c>
      <c r="X42" s="521">
        <v>0</v>
      </c>
      <c r="Y42" s="476">
        <v>0</v>
      </c>
      <c r="Z42" s="56" t="s">
        <v>1875</v>
      </c>
      <c r="AA42" s="56" t="s">
        <v>10</v>
      </c>
      <c r="AB42" s="561" t="s">
        <v>1050</v>
      </c>
      <c r="AC42" s="561" t="s">
        <v>80</v>
      </c>
      <c r="AD42" s="112" t="s">
        <v>89</v>
      </c>
      <c r="AE42" s="984" t="s">
        <v>175</v>
      </c>
      <c r="AF42" s="984" t="s">
        <v>647</v>
      </c>
    </row>
    <row r="43" spans="1:32" ht="26.4" outlineLevel="1" x14ac:dyDescent="0.25">
      <c r="A43" s="446" t="s">
        <v>107</v>
      </c>
      <c r="B43" s="447" t="s">
        <v>1170</v>
      </c>
      <c r="C43" s="1069" t="s">
        <v>105</v>
      </c>
      <c r="D43" s="40" t="s">
        <v>128</v>
      </c>
      <c r="E43" s="947" t="s">
        <v>14</v>
      </c>
      <c r="F43" s="948" t="s">
        <v>14</v>
      </c>
      <c r="G43" s="44">
        <v>16180</v>
      </c>
      <c r="H43" s="150">
        <v>659.45755999999994</v>
      </c>
      <c r="I43" s="1056">
        <v>0</v>
      </c>
      <c r="J43" s="1070">
        <v>0</v>
      </c>
      <c r="K43" s="453">
        <v>0</v>
      </c>
      <c r="L43" s="392">
        <f t="shared" si="6"/>
        <v>1000</v>
      </c>
      <c r="M43" s="802">
        <v>0</v>
      </c>
      <c r="N43" s="622">
        <v>1000</v>
      </c>
      <c r="O43" s="622">
        <f t="shared" si="3"/>
        <v>1000</v>
      </c>
      <c r="P43" s="135">
        <f>14520+1000.54244-1000</f>
        <v>14520.542439999999</v>
      </c>
      <c r="Q43" s="135">
        <v>0</v>
      </c>
      <c r="R43" s="453">
        <v>0</v>
      </c>
      <c r="S43" s="818">
        <v>0</v>
      </c>
      <c r="T43" s="455">
        <v>0</v>
      </c>
      <c r="U43" s="453">
        <v>0</v>
      </c>
      <c r="V43" s="454">
        <v>0</v>
      </c>
      <c r="W43" s="454">
        <v>0</v>
      </c>
      <c r="X43" s="818">
        <v>0</v>
      </c>
      <c r="Y43" s="392">
        <v>0</v>
      </c>
      <c r="Z43" s="40" t="s">
        <v>1876</v>
      </c>
      <c r="AA43" s="40" t="s">
        <v>10</v>
      </c>
      <c r="AB43" s="876" t="s">
        <v>735</v>
      </c>
      <c r="AC43" s="456" t="s">
        <v>80</v>
      </c>
      <c r="AD43" s="114" t="s">
        <v>89</v>
      </c>
      <c r="AE43" s="948" t="s">
        <v>75</v>
      </c>
      <c r="AF43" s="948"/>
    </row>
    <row r="44" spans="1:32" s="952" customFormat="1" ht="31.8" outlineLevel="1" thickBot="1" x14ac:dyDescent="0.3">
      <c r="A44" s="552" t="s">
        <v>108</v>
      </c>
      <c r="B44" s="872" t="s">
        <v>310</v>
      </c>
      <c r="C44" s="815" t="s">
        <v>106</v>
      </c>
      <c r="D44" s="143" t="s">
        <v>128</v>
      </c>
      <c r="E44" s="983" t="s">
        <v>14</v>
      </c>
      <c r="F44" s="984" t="s">
        <v>14</v>
      </c>
      <c r="G44" s="57">
        <v>250000</v>
      </c>
      <c r="H44" s="1066">
        <v>188323.04458999998</v>
      </c>
      <c r="I44" s="1067">
        <v>1184.2874999999999</v>
      </c>
      <c r="J44" s="1068">
        <v>10101.84662</v>
      </c>
      <c r="K44" s="670">
        <v>1184.2874999999999</v>
      </c>
      <c r="L44" s="791">
        <f t="shared" si="6"/>
        <v>30492.667910000011</v>
      </c>
      <c r="M44" s="606">
        <v>41676.95541000001</v>
      </c>
      <c r="N44" s="559">
        <v>-10000</v>
      </c>
      <c r="O44" s="111">
        <f t="shared" si="3"/>
        <v>31676.95541000001</v>
      </c>
      <c r="P44" s="672">
        <v>30000</v>
      </c>
      <c r="Q44" s="672">
        <v>0</v>
      </c>
      <c r="R44" s="670">
        <v>0</v>
      </c>
      <c r="S44" s="819">
        <v>0</v>
      </c>
      <c r="T44" s="671">
        <v>0</v>
      </c>
      <c r="U44" s="607">
        <v>0</v>
      </c>
      <c r="V44" s="475">
        <v>0</v>
      </c>
      <c r="W44" s="475">
        <v>0</v>
      </c>
      <c r="X44" s="521">
        <v>0</v>
      </c>
      <c r="Y44" s="476">
        <v>0</v>
      </c>
      <c r="Z44" s="56" t="s">
        <v>1877</v>
      </c>
      <c r="AA44" s="56" t="s">
        <v>10</v>
      </c>
      <c r="AB44" s="1071" t="s">
        <v>78</v>
      </c>
      <c r="AC44" s="561" t="s">
        <v>80</v>
      </c>
      <c r="AD44" s="112" t="s">
        <v>89</v>
      </c>
      <c r="AE44" s="984" t="s">
        <v>75</v>
      </c>
      <c r="AF44" s="984"/>
    </row>
    <row r="45" spans="1:32" s="955" customFormat="1" ht="27" outlineLevel="1" thickBot="1" x14ac:dyDescent="0.3">
      <c r="A45" s="562" t="s">
        <v>109</v>
      </c>
      <c r="B45" s="468" t="s">
        <v>311</v>
      </c>
      <c r="C45" s="1072" t="s">
        <v>110</v>
      </c>
      <c r="D45" s="143" t="s">
        <v>1012</v>
      </c>
      <c r="E45" s="968" t="s">
        <v>14</v>
      </c>
      <c r="F45" s="969" t="s">
        <v>14</v>
      </c>
      <c r="G45" s="125">
        <v>52400</v>
      </c>
      <c r="H45" s="1066">
        <v>1076.8999999999999</v>
      </c>
      <c r="I45" s="1067">
        <v>0</v>
      </c>
      <c r="J45" s="1068">
        <v>0</v>
      </c>
      <c r="K45" s="607">
        <v>0</v>
      </c>
      <c r="L45" s="645">
        <f t="shared" si="6"/>
        <v>0.32500000000004547</v>
      </c>
      <c r="M45" s="606">
        <v>318.32500000000005</v>
      </c>
      <c r="N45" s="559">
        <v>-318</v>
      </c>
      <c r="O45" s="559">
        <f t="shared" si="3"/>
        <v>0.32500000000004547</v>
      </c>
      <c r="P45" s="477">
        <v>1000</v>
      </c>
      <c r="Q45" s="606">
        <f>50004.775+318</f>
        <v>50322.775000000001</v>
      </c>
      <c r="R45" s="607">
        <v>0</v>
      </c>
      <c r="S45" s="521">
        <v>0</v>
      </c>
      <c r="T45" s="474">
        <v>0</v>
      </c>
      <c r="U45" s="607">
        <v>0</v>
      </c>
      <c r="V45" s="475">
        <v>0</v>
      </c>
      <c r="W45" s="475">
        <v>0</v>
      </c>
      <c r="X45" s="521">
        <v>0</v>
      </c>
      <c r="Y45" s="476">
        <v>0</v>
      </c>
      <c r="Z45" s="56" t="s">
        <v>1878</v>
      </c>
      <c r="AA45" s="143" t="s">
        <v>10</v>
      </c>
      <c r="AB45" s="427" t="s">
        <v>736</v>
      </c>
      <c r="AC45" s="764" t="s">
        <v>80</v>
      </c>
      <c r="AD45" s="187" t="s">
        <v>90</v>
      </c>
      <c r="AE45" s="969" t="s">
        <v>171</v>
      </c>
      <c r="AF45" s="969" t="s">
        <v>647</v>
      </c>
    </row>
    <row r="46" spans="1:32" ht="26.4" outlineLevel="1" x14ac:dyDescent="0.25">
      <c r="A46" s="446" t="s">
        <v>116</v>
      </c>
      <c r="B46" s="447" t="s">
        <v>312</v>
      </c>
      <c r="C46" s="1069" t="s">
        <v>117</v>
      </c>
      <c r="D46" s="40" t="s">
        <v>1023</v>
      </c>
      <c r="E46" s="947" t="s">
        <v>14</v>
      </c>
      <c r="F46" s="948" t="s">
        <v>14</v>
      </c>
      <c r="G46" s="44">
        <v>200000</v>
      </c>
      <c r="H46" s="150">
        <v>63371.908949999997</v>
      </c>
      <c r="I46" s="1056">
        <v>3197.93309</v>
      </c>
      <c r="J46" s="1070">
        <v>50751.197659999991</v>
      </c>
      <c r="K46" s="453">
        <v>3197.93309</v>
      </c>
      <c r="L46" s="392">
        <f t="shared" si="6"/>
        <v>96802.157959999982</v>
      </c>
      <c r="M46" s="135">
        <v>95000.091049999988</v>
      </c>
      <c r="N46" s="622">
        <v>5000</v>
      </c>
      <c r="O46" s="622">
        <f t="shared" si="3"/>
        <v>100000.09104999999</v>
      </c>
      <c r="P46" s="161">
        <f>110628-24000-15000-30000-5000</f>
        <v>36628</v>
      </c>
      <c r="Q46" s="135">
        <v>0</v>
      </c>
      <c r="R46" s="453">
        <v>0</v>
      </c>
      <c r="S46" s="818">
        <v>0</v>
      </c>
      <c r="T46" s="455">
        <v>0</v>
      </c>
      <c r="U46" s="453">
        <v>0</v>
      </c>
      <c r="V46" s="454">
        <v>0</v>
      </c>
      <c r="W46" s="454">
        <v>0</v>
      </c>
      <c r="X46" s="818">
        <v>0</v>
      </c>
      <c r="Y46" s="392">
        <v>0</v>
      </c>
      <c r="Z46" s="46" t="s">
        <v>1879</v>
      </c>
      <c r="AA46" s="40" t="s">
        <v>10</v>
      </c>
      <c r="AB46" s="876" t="s">
        <v>449</v>
      </c>
      <c r="AC46" s="456" t="s">
        <v>80</v>
      </c>
      <c r="AD46" s="114" t="s">
        <v>89</v>
      </c>
      <c r="AE46" s="948" t="s">
        <v>75</v>
      </c>
      <c r="AF46" s="948"/>
    </row>
    <row r="47" spans="1:32" ht="26.4" outlineLevel="1" x14ac:dyDescent="0.25">
      <c r="A47" s="222" t="s">
        <v>118</v>
      </c>
      <c r="B47" s="1627" t="s">
        <v>350</v>
      </c>
      <c r="C47" s="1682" t="s">
        <v>227</v>
      </c>
      <c r="D47" s="1629" t="s">
        <v>1023</v>
      </c>
      <c r="E47" s="1630" t="s">
        <v>14</v>
      </c>
      <c r="F47" s="1631" t="s">
        <v>14</v>
      </c>
      <c r="G47" s="1683">
        <f>90000-0.075</f>
        <v>89999.925000000003</v>
      </c>
      <c r="H47" s="1181">
        <v>22451.29348</v>
      </c>
      <c r="I47" s="1182">
        <v>0</v>
      </c>
      <c r="J47" s="1188">
        <v>0</v>
      </c>
      <c r="K47" s="1239">
        <v>0</v>
      </c>
      <c r="L47" s="1190">
        <f t="shared" si="6"/>
        <v>29999.631519999995</v>
      </c>
      <c r="M47" s="1169">
        <v>29999.631519999995</v>
      </c>
      <c r="N47" s="229">
        <v>0</v>
      </c>
      <c r="O47" s="1615">
        <f t="shared" si="3"/>
        <v>29999.631519999995</v>
      </c>
      <c r="P47" s="1359">
        <v>37549</v>
      </c>
      <c r="Q47" s="1191">
        <v>0</v>
      </c>
      <c r="R47" s="1239">
        <v>0</v>
      </c>
      <c r="S47" s="2003">
        <v>0</v>
      </c>
      <c r="T47" s="1616">
        <v>0</v>
      </c>
      <c r="U47" s="1237">
        <v>0</v>
      </c>
      <c r="V47" s="1184">
        <v>0</v>
      </c>
      <c r="W47" s="1184">
        <v>0</v>
      </c>
      <c r="X47" s="1999">
        <v>0</v>
      </c>
      <c r="Y47" s="1238">
        <v>0</v>
      </c>
      <c r="Z47" s="1642" t="s">
        <v>72</v>
      </c>
      <c r="AA47" s="1629" t="s">
        <v>10</v>
      </c>
      <c r="AB47" s="2044" t="s">
        <v>449</v>
      </c>
      <c r="AC47" s="1987" t="s">
        <v>80</v>
      </c>
      <c r="AD47" s="1986" t="s">
        <v>89</v>
      </c>
      <c r="AE47" s="1631" t="s">
        <v>75</v>
      </c>
      <c r="AF47" s="1631"/>
    </row>
    <row r="48" spans="1:32" ht="26.4" outlineLevel="1" x14ac:dyDescent="0.25">
      <c r="A48" s="222" t="s">
        <v>119</v>
      </c>
      <c r="B48" s="1627" t="s">
        <v>313</v>
      </c>
      <c r="C48" s="1684" t="s">
        <v>129</v>
      </c>
      <c r="D48" s="1629" t="s">
        <v>1023</v>
      </c>
      <c r="E48" s="1630" t="s">
        <v>14</v>
      </c>
      <c r="F48" s="1631" t="s">
        <v>14</v>
      </c>
      <c r="G48" s="1683">
        <v>110000</v>
      </c>
      <c r="H48" s="1181">
        <v>27276.451329999996</v>
      </c>
      <c r="I48" s="1182">
        <v>0</v>
      </c>
      <c r="J48" s="1188">
        <v>1974.6461899999999</v>
      </c>
      <c r="K48" s="1237">
        <v>0</v>
      </c>
      <c r="L48" s="1238">
        <f t="shared" si="6"/>
        <v>15999.548670000002</v>
      </c>
      <c r="M48" s="1169">
        <v>15999.548670000002</v>
      </c>
      <c r="N48" s="229">
        <v>0</v>
      </c>
      <c r="O48" s="1615">
        <f t="shared" si="3"/>
        <v>15999.548670000002</v>
      </c>
      <c r="P48" s="2045">
        <f>71526-4802</f>
        <v>66724</v>
      </c>
      <c r="Q48" s="2046">
        <v>0</v>
      </c>
      <c r="R48" s="1239">
        <v>0</v>
      </c>
      <c r="S48" s="2003">
        <v>0</v>
      </c>
      <c r="T48" s="1616">
        <v>0</v>
      </c>
      <c r="U48" s="1237">
        <v>0</v>
      </c>
      <c r="V48" s="1184">
        <v>0</v>
      </c>
      <c r="W48" s="1184">
        <v>0</v>
      </c>
      <c r="X48" s="1999">
        <v>0</v>
      </c>
      <c r="Y48" s="1238">
        <v>0</v>
      </c>
      <c r="Z48" s="1642" t="s">
        <v>1487</v>
      </c>
      <c r="AA48" s="1629" t="s">
        <v>10</v>
      </c>
      <c r="AB48" s="2044" t="s">
        <v>450</v>
      </c>
      <c r="AC48" s="1987" t="s">
        <v>80</v>
      </c>
      <c r="AD48" s="1986" t="s">
        <v>89</v>
      </c>
      <c r="AE48" s="1631" t="s">
        <v>75</v>
      </c>
      <c r="AF48" s="1631"/>
    </row>
    <row r="49" spans="1:32" ht="26.4" outlineLevel="1" x14ac:dyDescent="0.25">
      <c r="A49" s="222" t="s">
        <v>120</v>
      </c>
      <c r="B49" s="1627" t="s">
        <v>314</v>
      </c>
      <c r="C49" s="1684" t="s">
        <v>121</v>
      </c>
      <c r="D49" s="1629" t="s">
        <v>1023</v>
      </c>
      <c r="E49" s="1630" t="s">
        <v>14</v>
      </c>
      <c r="F49" s="1631" t="s">
        <v>14</v>
      </c>
      <c r="G49" s="1683">
        <v>54000</v>
      </c>
      <c r="H49" s="1181">
        <v>11940.643</v>
      </c>
      <c r="I49" s="1182">
        <v>0</v>
      </c>
      <c r="J49" s="1188">
        <v>0</v>
      </c>
      <c r="K49" s="1239">
        <v>0</v>
      </c>
      <c r="L49" s="1190">
        <f t="shared" si="6"/>
        <v>0</v>
      </c>
      <c r="M49" s="1169">
        <v>0</v>
      </c>
      <c r="N49" s="229">
        <v>0</v>
      </c>
      <c r="O49" s="1615">
        <f t="shared" si="3"/>
        <v>0</v>
      </c>
      <c r="P49" s="2045">
        <f>40559.357+1500</f>
        <v>42059.357000000004</v>
      </c>
      <c r="Q49" s="2046">
        <v>0</v>
      </c>
      <c r="R49" s="1239">
        <v>0</v>
      </c>
      <c r="S49" s="2003">
        <v>0</v>
      </c>
      <c r="T49" s="1616">
        <v>0</v>
      </c>
      <c r="U49" s="1237">
        <v>0</v>
      </c>
      <c r="V49" s="1184">
        <v>0</v>
      </c>
      <c r="W49" s="1184">
        <v>0</v>
      </c>
      <c r="X49" s="1999">
        <v>0</v>
      </c>
      <c r="Y49" s="1238">
        <v>0</v>
      </c>
      <c r="Z49" s="1629" t="s">
        <v>159</v>
      </c>
      <c r="AA49" s="1629" t="s">
        <v>10</v>
      </c>
      <c r="AB49" s="2044" t="s">
        <v>450</v>
      </c>
      <c r="AC49" s="1987" t="s">
        <v>80</v>
      </c>
      <c r="AD49" s="1986" t="s">
        <v>89</v>
      </c>
      <c r="AE49" s="1631" t="s">
        <v>75</v>
      </c>
      <c r="AF49" s="1631"/>
    </row>
    <row r="50" spans="1:32" ht="26.4" outlineLevel="1" x14ac:dyDescent="0.25">
      <c r="A50" s="14" t="s">
        <v>122</v>
      </c>
      <c r="B50" s="1685" t="s">
        <v>315</v>
      </c>
      <c r="C50" s="1686" t="s">
        <v>123</v>
      </c>
      <c r="D50" s="1687" t="s">
        <v>1023</v>
      </c>
      <c r="E50" s="1688" t="s">
        <v>14</v>
      </c>
      <c r="F50" s="1688" t="s">
        <v>14</v>
      </c>
      <c r="G50" s="1689">
        <f>64538.59842+670+30-0.14466</f>
        <v>65238.453760000004</v>
      </c>
      <c r="H50" s="1240">
        <v>64538.598420000002</v>
      </c>
      <c r="I50" s="1241">
        <v>0</v>
      </c>
      <c r="J50" s="1242">
        <v>699.85533999999996</v>
      </c>
      <c r="K50" s="1243">
        <v>0</v>
      </c>
      <c r="L50" s="1244">
        <f t="shared" si="6"/>
        <v>699.85533999999996</v>
      </c>
      <c r="M50" s="1245">
        <v>700</v>
      </c>
      <c r="N50" s="181">
        <v>-0.14466000000000001</v>
      </c>
      <c r="O50" s="2047">
        <f t="shared" si="3"/>
        <v>699.85533999999996</v>
      </c>
      <c r="P50" s="1373">
        <v>0</v>
      </c>
      <c r="Q50" s="1245">
        <v>0</v>
      </c>
      <c r="R50" s="1243">
        <v>0</v>
      </c>
      <c r="S50" s="2048">
        <v>0</v>
      </c>
      <c r="T50" s="2049">
        <v>0</v>
      </c>
      <c r="U50" s="1243">
        <f>39744.17525-0.14466</f>
        <v>39744.030590000002</v>
      </c>
      <c r="V50" s="1375">
        <v>39044.17525</v>
      </c>
      <c r="W50" s="1375">
        <v>699.85533999999996</v>
      </c>
      <c r="X50" s="2048">
        <f>700-0.14466</f>
        <v>699.85533999999996</v>
      </c>
      <c r="Y50" s="1274">
        <v>0</v>
      </c>
      <c r="Z50" s="1687" t="s">
        <v>72</v>
      </c>
      <c r="AA50" s="1687" t="s">
        <v>83</v>
      </c>
      <c r="AB50" s="2050" t="s">
        <v>1073</v>
      </c>
      <c r="AC50" s="2051" t="s">
        <v>80</v>
      </c>
      <c r="AD50" s="2052" t="s">
        <v>89</v>
      </c>
      <c r="AE50" s="1688" t="s">
        <v>179</v>
      </c>
      <c r="AF50" s="1688" t="s">
        <v>648</v>
      </c>
    </row>
    <row r="51" spans="1:32" s="952" customFormat="1" ht="27" outlineLevel="1" thickBot="1" x14ac:dyDescent="0.3">
      <c r="A51" s="195" t="s">
        <v>124</v>
      </c>
      <c r="B51" s="1632" t="s">
        <v>316</v>
      </c>
      <c r="C51" s="1690" t="s">
        <v>125</v>
      </c>
      <c r="D51" s="78" t="s">
        <v>1023</v>
      </c>
      <c r="E51" s="164" t="s">
        <v>14</v>
      </c>
      <c r="F51" s="203" t="s">
        <v>14</v>
      </c>
      <c r="G51" s="1634">
        <v>2000</v>
      </c>
      <c r="H51" s="1219">
        <v>218.19192000000021</v>
      </c>
      <c r="I51" s="1220">
        <v>0</v>
      </c>
      <c r="J51" s="1221">
        <v>0</v>
      </c>
      <c r="K51" s="1246">
        <v>0</v>
      </c>
      <c r="L51" s="1223">
        <f t="shared" si="6"/>
        <v>0</v>
      </c>
      <c r="M51" s="152">
        <v>0</v>
      </c>
      <c r="N51" s="178">
        <v>0</v>
      </c>
      <c r="O51" s="1613">
        <f t="shared" si="3"/>
        <v>0</v>
      </c>
      <c r="P51" s="1343">
        <v>281.80808000000002</v>
      </c>
      <c r="Q51" s="152">
        <v>1500</v>
      </c>
      <c r="R51" s="1246">
        <v>0</v>
      </c>
      <c r="S51" s="2020">
        <v>0</v>
      </c>
      <c r="T51" s="1612">
        <v>0</v>
      </c>
      <c r="U51" s="1246">
        <v>0</v>
      </c>
      <c r="V51" s="1222">
        <v>0</v>
      </c>
      <c r="W51" s="1222">
        <v>0</v>
      </c>
      <c r="X51" s="2020">
        <v>0</v>
      </c>
      <c r="Y51" s="1614">
        <v>0</v>
      </c>
      <c r="Z51" s="78" t="s">
        <v>72</v>
      </c>
      <c r="AA51" s="78" t="s">
        <v>10</v>
      </c>
      <c r="AB51" s="72" t="s">
        <v>382</v>
      </c>
      <c r="AC51" s="21" t="s">
        <v>80</v>
      </c>
      <c r="AD51" s="20" t="s">
        <v>88</v>
      </c>
      <c r="AE51" s="203" t="s">
        <v>75</v>
      </c>
      <c r="AF51" s="203"/>
    </row>
    <row r="52" spans="1:32" s="955" customFormat="1" ht="47.4" outlineLevel="1" thickBot="1" x14ac:dyDescent="0.3">
      <c r="A52" s="227" t="s">
        <v>148</v>
      </c>
      <c r="B52" s="1691" t="s">
        <v>317</v>
      </c>
      <c r="C52" s="1692" t="s">
        <v>147</v>
      </c>
      <c r="D52" s="78" t="s">
        <v>152</v>
      </c>
      <c r="E52" s="1667" t="s">
        <v>14</v>
      </c>
      <c r="F52" s="203" t="s">
        <v>14</v>
      </c>
      <c r="G52" s="1634">
        <f>79939-0.73236+5062+2710+2390+131</f>
        <v>90231.267640000005</v>
      </c>
      <c r="H52" s="1219">
        <v>89671.311780000018</v>
      </c>
      <c r="I52" s="1220">
        <v>428.68822</v>
      </c>
      <c r="J52" s="1221">
        <v>0</v>
      </c>
      <c r="K52" s="1246">
        <v>428.68822</v>
      </c>
      <c r="L52" s="1223">
        <f t="shared" si="6"/>
        <v>131.26764000000003</v>
      </c>
      <c r="M52" s="152">
        <v>559.95586000000003</v>
      </c>
      <c r="N52" s="178">
        <v>0</v>
      </c>
      <c r="O52" s="1613">
        <f t="shared" si="3"/>
        <v>559.95586000000003</v>
      </c>
      <c r="P52" s="152">
        <v>0</v>
      </c>
      <c r="Q52" s="152">
        <v>0</v>
      </c>
      <c r="R52" s="1246">
        <v>0</v>
      </c>
      <c r="S52" s="2020">
        <v>0</v>
      </c>
      <c r="T52" s="1612">
        <v>0</v>
      </c>
      <c r="U52" s="1246">
        <f>79939-0.73236</f>
        <v>79938.267640000005</v>
      </c>
      <c r="V52" s="1222">
        <v>79938.267640000005</v>
      </c>
      <c r="W52" s="1222">
        <v>0</v>
      </c>
      <c r="X52" s="2020">
        <f>U52-V52</f>
        <v>0</v>
      </c>
      <c r="Y52" s="2053">
        <v>0</v>
      </c>
      <c r="Z52" s="78" t="s">
        <v>72</v>
      </c>
      <c r="AA52" s="78" t="s">
        <v>151</v>
      </c>
      <c r="AB52" s="72" t="s">
        <v>1073</v>
      </c>
      <c r="AC52" s="21" t="s">
        <v>80</v>
      </c>
      <c r="AD52" s="20" t="s">
        <v>89</v>
      </c>
      <c r="AE52" s="203" t="s">
        <v>175</v>
      </c>
      <c r="AF52" s="203" t="s">
        <v>648</v>
      </c>
    </row>
    <row r="53" spans="1:32" s="955" customFormat="1" ht="27" outlineLevel="1" thickBot="1" x14ac:dyDescent="0.3">
      <c r="A53" s="602" t="s">
        <v>156</v>
      </c>
      <c r="B53" s="1073" t="s">
        <v>1138</v>
      </c>
      <c r="C53" s="1074" t="s">
        <v>157</v>
      </c>
      <c r="D53" s="143" t="s">
        <v>1024</v>
      </c>
      <c r="E53" s="136" t="s">
        <v>14</v>
      </c>
      <c r="F53" s="969" t="s">
        <v>14</v>
      </c>
      <c r="G53" s="125">
        <f>10878+1856+2900+3366</f>
        <v>19000</v>
      </c>
      <c r="H53" s="1066">
        <v>3636.3936100000001</v>
      </c>
      <c r="I53" s="1067">
        <v>7571.1906099999997</v>
      </c>
      <c r="J53" s="1068">
        <v>1628.72991</v>
      </c>
      <c r="K53" s="607">
        <v>7571.1906099999997</v>
      </c>
      <c r="L53" s="476">
        <f t="shared" si="6"/>
        <v>7592.4157800000012</v>
      </c>
      <c r="M53" s="606">
        <v>15363.606390000001</v>
      </c>
      <c r="N53" s="559">
        <v>-200</v>
      </c>
      <c r="O53" s="559">
        <f t="shared" si="3"/>
        <v>15163.606390000001</v>
      </c>
      <c r="P53" s="606">
        <v>200</v>
      </c>
      <c r="Q53" s="606">
        <v>0</v>
      </c>
      <c r="R53" s="607">
        <v>0</v>
      </c>
      <c r="S53" s="521">
        <v>0</v>
      </c>
      <c r="T53" s="474">
        <v>0</v>
      </c>
      <c r="U53" s="607">
        <v>0</v>
      </c>
      <c r="V53" s="475">
        <v>0</v>
      </c>
      <c r="W53" s="475">
        <v>0</v>
      </c>
      <c r="X53" s="521">
        <v>0</v>
      </c>
      <c r="Y53" s="476">
        <v>0</v>
      </c>
      <c r="Z53" s="415" t="s">
        <v>1934</v>
      </c>
      <c r="AA53" s="143" t="s">
        <v>151</v>
      </c>
      <c r="AB53" s="427" t="s">
        <v>382</v>
      </c>
      <c r="AC53" s="764" t="s">
        <v>80</v>
      </c>
      <c r="AD53" s="187" t="s">
        <v>89</v>
      </c>
      <c r="AE53" s="969" t="s">
        <v>171</v>
      </c>
      <c r="AF53" s="969" t="s">
        <v>647</v>
      </c>
    </row>
    <row r="54" spans="1:32" s="1049" customFormat="1" ht="27" outlineLevel="1" thickBot="1" x14ac:dyDescent="0.3">
      <c r="A54" s="340" t="s">
        <v>196</v>
      </c>
      <c r="B54" s="1693" t="s">
        <v>1202</v>
      </c>
      <c r="C54" s="1694" t="s">
        <v>197</v>
      </c>
      <c r="D54" s="1695" t="s">
        <v>228</v>
      </c>
      <c r="E54" s="1696" t="s">
        <v>14</v>
      </c>
      <c r="F54" s="1697" t="s">
        <v>14</v>
      </c>
      <c r="G54" s="1698">
        <f>2000-200-14-0.56127</f>
        <v>1785.4387300000001</v>
      </c>
      <c r="H54" s="1247">
        <v>1744.078</v>
      </c>
      <c r="I54" s="1248">
        <v>0</v>
      </c>
      <c r="J54" s="1249">
        <v>41.360729999999997</v>
      </c>
      <c r="K54" s="1250">
        <v>0</v>
      </c>
      <c r="L54" s="1251">
        <f t="shared" si="6"/>
        <v>41.360730000000025</v>
      </c>
      <c r="M54" s="1252">
        <v>41.922000000000025</v>
      </c>
      <c r="N54" s="341">
        <f>0-0.56127</f>
        <v>-0.56127000000000005</v>
      </c>
      <c r="O54" s="2054">
        <f t="shared" si="3"/>
        <v>41.360730000000025</v>
      </c>
      <c r="P54" s="1252">
        <v>0</v>
      </c>
      <c r="Q54" s="1252">
        <v>0</v>
      </c>
      <c r="R54" s="1250">
        <v>0</v>
      </c>
      <c r="S54" s="2055">
        <v>0</v>
      </c>
      <c r="T54" s="2056">
        <v>0</v>
      </c>
      <c r="U54" s="1250">
        <v>0</v>
      </c>
      <c r="V54" s="2057">
        <v>0</v>
      </c>
      <c r="W54" s="2057">
        <v>0</v>
      </c>
      <c r="X54" s="2055">
        <v>0</v>
      </c>
      <c r="Y54" s="2058">
        <v>0</v>
      </c>
      <c r="Z54" s="2059" t="s">
        <v>112</v>
      </c>
      <c r="AA54" s="1695" t="s">
        <v>83</v>
      </c>
      <c r="AB54" s="2060" t="s">
        <v>448</v>
      </c>
      <c r="AC54" s="2061" t="s">
        <v>80</v>
      </c>
      <c r="AD54" s="2062" t="s">
        <v>89</v>
      </c>
      <c r="AE54" s="1697" t="s">
        <v>181</v>
      </c>
      <c r="AF54" s="1697" t="s">
        <v>647</v>
      </c>
    </row>
    <row r="55" spans="1:32" ht="31.8" outlineLevel="1" thickBot="1" x14ac:dyDescent="0.3">
      <c r="A55" s="562" t="s">
        <v>229</v>
      </c>
      <c r="B55" s="919" t="s">
        <v>1194</v>
      </c>
      <c r="C55" s="1075" t="s">
        <v>1798</v>
      </c>
      <c r="D55" s="67" t="s">
        <v>1025</v>
      </c>
      <c r="E55" s="137" t="s">
        <v>14</v>
      </c>
      <c r="F55" s="286" t="s">
        <v>14</v>
      </c>
      <c r="G55" s="564">
        <v>30000</v>
      </c>
      <c r="H55" s="922">
        <v>7752.4699999999993</v>
      </c>
      <c r="I55" s="923">
        <v>0</v>
      </c>
      <c r="J55" s="924">
        <v>6116.55</v>
      </c>
      <c r="K55" s="473">
        <v>0</v>
      </c>
      <c r="L55" s="573">
        <f t="shared" si="6"/>
        <v>12247.529999999999</v>
      </c>
      <c r="M55" s="479">
        <v>12247.529999999999</v>
      </c>
      <c r="N55" s="478">
        <v>0</v>
      </c>
      <c r="O55" s="478">
        <f t="shared" si="3"/>
        <v>12247.529999999999</v>
      </c>
      <c r="P55" s="479">
        <v>10000</v>
      </c>
      <c r="Q55" s="520">
        <v>0</v>
      </c>
      <c r="R55" s="473">
        <v>0</v>
      </c>
      <c r="S55" s="572">
        <v>0</v>
      </c>
      <c r="T55" s="520">
        <v>0</v>
      </c>
      <c r="U55" s="473">
        <v>0</v>
      </c>
      <c r="V55" s="560">
        <v>0</v>
      </c>
      <c r="W55" s="560">
        <v>0</v>
      </c>
      <c r="X55" s="572">
        <v>0</v>
      </c>
      <c r="Y55" s="573">
        <v>0</v>
      </c>
      <c r="Z55" s="438" t="s">
        <v>1799</v>
      </c>
      <c r="AA55" s="67" t="s">
        <v>8</v>
      </c>
      <c r="AB55" s="1076" t="s">
        <v>1446</v>
      </c>
      <c r="AC55" s="774" t="s">
        <v>79</v>
      </c>
      <c r="AD55" s="194" t="s">
        <v>89</v>
      </c>
      <c r="AE55" s="286" t="s">
        <v>169</v>
      </c>
      <c r="AF55" s="286"/>
    </row>
    <row r="56" spans="1:32" ht="26.4" outlineLevel="1" x14ac:dyDescent="0.25">
      <c r="A56" s="1077" t="s">
        <v>262</v>
      </c>
      <c r="B56" s="1699" t="s">
        <v>631</v>
      </c>
      <c r="C56" s="1700" t="s">
        <v>263</v>
      </c>
      <c r="D56" s="1701" t="s">
        <v>1027</v>
      </c>
      <c r="E56" s="1702" t="s">
        <v>14</v>
      </c>
      <c r="F56" s="1703" t="s">
        <v>14</v>
      </c>
      <c r="G56" s="1704">
        <f>16300-4700-2175-200</f>
        <v>9225</v>
      </c>
      <c r="H56" s="1253">
        <v>9024.7397899999996</v>
      </c>
      <c r="I56" s="1254">
        <v>169.36389</v>
      </c>
      <c r="J56" s="1255">
        <v>0</v>
      </c>
      <c r="K56" s="1256">
        <v>169.36389</v>
      </c>
      <c r="L56" s="1257">
        <f t="shared" si="6"/>
        <v>30.896319999999974</v>
      </c>
      <c r="M56" s="1258">
        <v>400.26020999999997</v>
      </c>
      <c r="N56" s="1038">
        <v>-200</v>
      </c>
      <c r="O56" s="2063">
        <f t="shared" si="3"/>
        <v>200.26020999999997</v>
      </c>
      <c r="P56" s="1258">
        <v>0</v>
      </c>
      <c r="Q56" s="1258">
        <v>0</v>
      </c>
      <c r="R56" s="1256">
        <v>0</v>
      </c>
      <c r="S56" s="2064">
        <v>0</v>
      </c>
      <c r="T56" s="2065">
        <v>0</v>
      </c>
      <c r="U56" s="1256">
        <v>0</v>
      </c>
      <c r="V56" s="2066">
        <v>0</v>
      </c>
      <c r="W56" s="2066">
        <v>0</v>
      </c>
      <c r="X56" s="2064">
        <v>0</v>
      </c>
      <c r="Y56" s="1257">
        <v>0</v>
      </c>
      <c r="Z56" s="1769" t="s">
        <v>1800</v>
      </c>
      <c r="AA56" s="1701" t="s">
        <v>151</v>
      </c>
      <c r="AB56" s="2067" t="s">
        <v>533</v>
      </c>
      <c r="AC56" s="2068" t="s">
        <v>80</v>
      </c>
      <c r="AD56" s="2069" t="s">
        <v>89</v>
      </c>
      <c r="AE56" s="1703" t="s">
        <v>175</v>
      </c>
      <c r="AF56" s="1703" t="s">
        <v>648</v>
      </c>
    </row>
    <row r="57" spans="1:32" s="952" customFormat="1" ht="27" outlineLevel="1" thickBot="1" x14ac:dyDescent="0.3">
      <c r="A57" s="1078" t="s">
        <v>264</v>
      </c>
      <c r="B57" s="1079" t="s">
        <v>504</v>
      </c>
      <c r="C57" s="1080" t="s">
        <v>265</v>
      </c>
      <c r="D57" s="219" t="s">
        <v>1027</v>
      </c>
      <c r="E57" s="220" t="s">
        <v>14</v>
      </c>
      <c r="F57" s="1081" t="s">
        <v>14</v>
      </c>
      <c r="G57" s="221">
        <f>143047-24900+15292+6000-4319+5200-1381</f>
        <v>138939</v>
      </c>
      <c r="H57" s="1082">
        <v>81938.871910000002</v>
      </c>
      <c r="I57" s="1083">
        <v>184.64600000000002</v>
      </c>
      <c r="J57" s="1084">
        <v>6664.87356</v>
      </c>
      <c r="K57" s="1085">
        <v>184.64600000000002</v>
      </c>
      <c r="L57" s="1086">
        <f t="shared" si="6"/>
        <v>26815.482089999998</v>
      </c>
      <c r="M57" s="1088">
        <v>21800.128089999998</v>
      </c>
      <c r="N57" s="1089">
        <v>5200</v>
      </c>
      <c r="O57" s="1089">
        <f t="shared" si="3"/>
        <v>27000.128089999998</v>
      </c>
      <c r="P57" s="1088">
        <v>0</v>
      </c>
      <c r="Q57" s="1088">
        <v>0</v>
      </c>
      <c r="R57" s="1085">
        <v>0</v>
      </c>
      <c r="S57" s="1090">
        <v>30000</v>
      </c>
      <c r="T57" s="1087">
        <v>0</v>
      </c>
      <c r="U57" s="1085">
        <v>0</v>
      </c>
      <c r="V57" s="1091">
        <v>0</v>
      </c>
      <c r="W57" s="1091">
        <v>0</v>
      </c>
      <c r="X57" s="1090">
        <v>0</v>
      </c>
      <c r="Y57" s="1092">
        <v>0</v>
      </c>
      <c r="Z57" s="219" t="s">
        <v>1935</v>
      </c>
      <c r="AA57" s="219" t="s">
        <v>151</v>
      </c>
      <c r="AB57" s="1052" t="s">
        <v>382</v>
      </c>
      <c r="AC57" s="1093" t="s">
        <v>80</v>
      </c>
      <c r="AD57" s="218" t="s">
        <v>89</v>
      </c>
      <c r="AE57" s="1081" t="s">
        <v>166</v>
      </c>
      <c r="AF57" s="1081" t="s">
        <v>648</v>
      </c>
    </row>
    <row r="58" spans="1:32" s="1050" customFormat="1" ht="26.4" outlineLevel="1" x14ac:dyDescent="0.25">
      <c r="A58" s="245" t="s">
        <v>267</v>
      </c>
      <c r="B58" s="1705" t="s">
        <v>632</v>
      </c>
      <c r="C58" s="1706" t="s">
        <v>429</v>
      </c>
      <c r="D58" s="1707" t="s">
        <v>1028</v>
      </c>
      <c r="E58" s="1708" t="s">
        <v>14</v>
      </c>
      <c r="F58" s="1709" t="s">
        <v>14</v>
      </c>
      <c r="G58" s="1710">
        <f>20000-8296-1492.45915+108.37428+0.086+1-2.00226</f>
        <v>10318.998869999999</v>
      </c>
      <c r="H58" s="1259">
        <f>10211.54085-1.00113</f>
        <v>10210.539719999999</v>
      </c>
      <c r="I58" s="1260">
        <v>0</v>
      </c>
      <c r="J58" s="1261">
        <v>108.45914999999999</v>
      </c>
      <c r="K58" s="1262">
        <v>0</v>
      </c>
      <c r="L58" s="1263">
        <f t="shared" si="6"/>
        <v>108.45914999999999</v>
      </c>
      <c r="M58" s="1264">
        <v>109.46028</v>
      </c>
      <c r="N58" s="215">
        <f>0-1.00113</f>
        <v>-1.0011300000000001</v>
      </c>
      <c r="O58" s="2070">
        <f t="shared" si="3"/>
        <v>108.45914999999999</v>
      </c>
      <c r="P58" s="1264">
        <v>0</v>
      </c>
      <c r="Q58" s="1264">
        <v>0</v>
      </c>
      <c r="R58" s="1262">
        <v>0</v>
      </c>
      <c r="S58" s="2071">
        <v>0</v>
      </c>
      <c r="T58" s="2072">
        <v>0</v>
      </c>
      <c r="U58" s="1262">
        <v>0</v>
      </c>
      <c r="V58" s="2073">
        <v>0</v>
      </c>
      <c r="W58" s="2073">
        <v>0</v>
      </c>
      <c r="X58" s="2071">
        <v>0</v>
      </c>
      <c r="Y58" s="2074">
        <v>0</v>
      </c>
      <c r="Z58" s="2075" t="s">
        <v>112</v>
      </c>
      <c r="AA58" s="1707" t="s">
        <v>83</v>
      </c>
      <c r="AB58" s="2076" t="s">
        <v>747</v>
      </c>
      <c r="AC58" s="2077" t="s">
        <v>80</v>
      </c>
      <c r="AD58" s="2078" t="s">
        <v>89</v>
      </c>
      <c r="AE58" s="1709" t="s">
        <v>179</v>
      </c>
      <c r="AF58" s="1709" t="s">
        <v>647</v>
      </c>
    </row>
    <row r="59" spans="1:32" s="960" customFormat="1" ht="27" outlineLevel="1" thickBot="1" x14ac:dyDescent="0.3">
      <c r="A59" s="856" t="s">
        <v>269</v>
      </c>
      <c r="B59" s="1711" t="s">
        <v>1187</v>
      </c>
      <c r="C59" s="1712" t="s">
        <v>268</v>
      </c>
      <c r="D59" s="1713" t="s">
        <v>1028</v>
      </c>
      <c r="E59" s="1714" t="s">
        <v>14</v>
      </c>
      <c r="F59" s="1715" t="s">
        <v>14</v>
      </c>
      <c r="G59" s="1716">
        <f>4400+241+250+260</f>
        <v>5151</v>
      </c>
      <c r="H59" s="1265">
        <v>3440.7736700000005</v>
      </c>
      <c r="I59" s="1266">
        <v>154.88</v>
      </c>
      <c r="J59" s="1267">
        <v>91.41516</v>
      </c>
      <c r="K59" s="1268">
        <v>154.88</v>
      </c>
      <c r="L59" s="1269">
        <f t="shared" si="6"/>
        <v>1555.3463299999994</v>
      </c>
      <c r="M59" s="1270">
        <v>1450.2263299999995</v>
      </c>
      <c r="N59" s="857">
        <v>260</v>
      </c>
      <c r="O59" s="2079">
        <f t="shared" si="3"/>
        <v>1710.2263299999995</v>
      </c>
      <c r="P59" s="1311">
        <v>0</v>
      </c>
      <c r="Q59" s="1311">
        <v>0</v>
      </c>
      <c r="R59" s="1268">
        <v>0</v>
      </c>
      <c r="S59" s="2080">
        <v>0</v>
      </c>
      <c r="T59" s="2081">
        <v>0</v>
      </c>
      <c r="U59" s="1268">
        <v>0</v>
      </c>
      <c r="V59" s="2082">
        <v>0</v>
      </c>
      <c r="W59" s="2082">
        <v>0</v>
      </c>
      <c r="X59" s="2080">
        <v>0</v>
      </c>
      <c r="Y59" s="1269">
        <v>0</v>
      </c>
      <c r="Z59" s="1760" t="s">
        <v>1801</v>
      </c>
      <c r="AA59" s="1713" t="s">
        <v>151</v>
      </c>
      <c r="AB59" s="2083" t="s">
        <v>382</v>
      </c>
      <c r="AC59" s="2084" t="s">
        <v>80</v>
      </c>
      <c r="AD59" s="2085" t="s">
        <v>89</v>
      </c>
      <c r="AE59" s="1715" t="s">
        <v>166</v>
      </c>
      <c r="AF59" s="1715" t="s">
        <v>647</v>
      </c>
    </row>
    <row r="60" spans="1:32" ht="26.4" outlineLevel="1" x14ac:dyDescent="0.25">
      <c r="A60" s="1077" t="s">
        <v>374</v>
      </c>
      <c r="B60" s="1717" t="s">
        <v>967</v>
      </c>
      <c r="C60" s="1700" t="s">
        <v>375</v>
      </c>
      <c r="D60" s="1701" t="s">
        <v>1693</v>
      </c>
      <c r="E60" s="1702" t="s">
        <v>14</v>
      </c>
      <c r="F60" s="1703" t="s">
        <v>14</v>
      </c>
      <c r="G60" s="1704">
        <f>4786+973+301+500-560</f>
        <v>6000</v>
      </c>
      <c r="H60" s="1253">
        <v>5770.40679</v>
      </c>
      <c r="I60" s="1254">
        <v>0</v>
      </c>
      <c r="J60" s="1255">
        <v>0</v>
      </c>
      <c r="K60" s="1256">
        <v>0</v>
      </c>
      <c r="L60" s="1257">
        <f t="shared" si="6"/>
        <v>229.59321</v>
      </c>
      <c r="M60" s="1271">
        <v>789.59321</v>
      </c>
      <c r="N60" s="1038">
        <v>-560</v>
      </c>
      <c r="O60" s="2063">
        <f t="shared" si="3"/>
        <v>229.59321</v>
      </c>
      <c r="P60" s="1258">
        <v>0</v>
      </c>
      <c r="Q60" s="1258">
        <v>0</v>
      </c>
      <c r="R60" s="1256">
        <v>0</v>
      </c>
      <c r="S60" s="2064">
        <v>0</v>
      </c>
      <c r="T60" s="2065">
        <v>0</v>
      </c>
      <c r="U60" s="1256">
        <v>0</v>
      </c>
      <c r="V60" s="2066">
        <v>0</v>
      </c>
      <c r="W60" s="2066">
        <v>0</v>
      </c>
      <c r="X60" s="2064">
        <v>0</v>
      </c>
      <c r="Y60" s="1257">
        <v>0</v>
      </c>
      <c r="Z60" s="2086" t="s">
        <v>1802</v>
      </c>
      <c r="AA60" s="1701" t="s">
        <v>151</v>
      </c>
      <c r="AB60" s="2067" t="s">
        <v>382</v>
      </c>
      <c r="AC60" s="2068" t="s">
        <v>80</v>
      </c>
      <c r="AD60" s="2069" t="s">
        <v>89</v>
      </c>
      <c r="AE60" s="1703" t="s">
        <v>168</v>
      </c>
      <c r="AF60" s="1703" t="s">
        <v>648</v>
      </c>
    </row>
    <row r="61" spans="1:32" ht="27" outlineLevel="1" thickBot="1" x14ac:dyDescent="0.3">
      <c r="A61" s="226" t="s">
        <v>376</v>
      </c>
      <c r="B61" s="1659" t="s">
        <v>75</v>
      </c>
      <c r="C61" s="1718" t="s">
        <v>377</v>
      </c>
      <c r="D61" s="1661" t="s">
        <v>1693</v>
      </c>
      <c r="E61" s="1662" t="s">
        <v>14</v>
      </c>
      <c r="F61" s="1663" t="s">
        <v>14</v>
      </c>
      <c r="G61" s="1719">
        <f>13400+48600</f>
        <v>62000</v>
      </c>
      <c r="H61" s="1272">
        <v>0</v>
      </c>
      <c r="I61" s="1214">
        <v>0</v>
      </c>
      <c r="J61" s="1215">
        <v>0</v>
      </c>
      <c r="K61" s="1273">
        <v>0</v>
      </c>
      <c r="L61" s="1217">
        <f t="shared" si="6"/>
        <v>0</v>
      </c>
      <c r="M61" s="1218">
        <v>0</v>
      </c>
      <c r="N61" s="224">
        <v>0</v>
      </c>
      <c r="O61" s="1619">
        <f t="shared" si="3"/>
        <v>0</v>
      </c>
      <c r="P61" s="1218">
        <v>62000</v>
      </c>
      <c r="Q61" s="1218">
        <v>0</v>
      </c>
      <c r="R61" s="1273">
        <v>0</v>
      </c>
      <c r="S61" s="2018">
        <v>0</v>
      </c>
      <c r="T61" s="1620">
        <v>0</v>
      </c>
      <c r="U61" s="1273">
        <v>0</v>
      </c>
      <c r="V61" s="1216">
        <v>0</v>
      </c>
      <c r="W61" s="1216">
        <v>0</v>
      </c>
      <c r="X61" s="2018">
        <v>0</v>
      </c>
      <c r="Y61" s="1275">
        <v>0</v>
      </c>
      <c r="Z61" s="1763" t="s">
        <v>1488</v>
      </c>
      <c r="AA61" s="1661" t="s">
        <v>6</v>
      </c>
      <c r="AB61" s="2087" t="s">
        <v>1237</v>
      </c>
      <c r="AC61" s="2088" t="s">
        <v>79</v>
      </c>
      <c r="AD61" s="15" t="s">
        <v>90</v>
      </c>
      <c r="AE61" s="1663" t="s">
        <v>169</v>
      </c>
      <c r="AF61" s="1663" t="s">
        <v>647</v>
      </c>
    </row>
    <row r="62" spans="1:32" ht="26.4" outlineLevel="1" x14ac:dyDescent="0.25">
      <c r="A62" s="222" t="s">
        <v>430</v>
      </c>
      <c r="B62" s="1627" t="s">
        <v>628</v>
      </c>
      <c r="C62" s="1720" t="s">
        <v>431</v>
      </c>
      <c r="D62" s="1642" t="s">
        <v>945</v>
      </c>
      <c r="E62" s="1645" t="s">
        <v>14</v>
      </c>
      <c r="F62" s="1631" t="s">
        <v>14</v>
      </c>
      <c r="G62" s="1683">
        <v>8006</v>
      </c>
      <c r="H62" s="1186">
        <v>6299.5396300000002</v>
      </c>
      <c r="I62" s="1187">
        <v>0</v>
      </c>
      <c r="J62" s="1194">
        <v>0</v>
      </c>
      <c r="K62" s="1239">
        <v>0</v>
      </c>
      <c r="L62" s="1190">
        <f t="shared" si="6"/>
        <v>0</v>
      </c>
      <c r="M62" s="1169">
        <v>0</v>
      </c>
      <c r="N62" s="231">
        <v>0</v>
      </c>
      <c r="O62" s="1615">
        <f t="shared" si="3"/>
        <v>0</v>
      </c>
      <c r="P62" s="1191">
        <v>1706.46037</v>
      </c>
      <c r="Q62" s="1191">
        <v>0</v>
      </c>
      <c r="R62" s="1239">
        <v>0</v>
      </c>
      <c r="S62" s="2003">
        <v>0</v>
      </c>
      <c r="T62" s="1616">
        <v>0</v>
      </c>
      <c r="U62" s="1239">
        <v>0</v>
      </c>
      <c r="V62" s="1189">
        <v>0</v>
      </c>
      <c r="W62" s="1189">
        <v>0</v>
      </c>
      <c r="X62" s="2003">
        <v>0</v>
      </c>
      <c r="Y62" s="1190">
        <v>0</v>
      </c>
      <c r="Z62" s="2089" t="s">
        <v>1489</v>
      </c>
      <c r="AA62" s="1629" t="s">
        <v>151</v>
      </c>
      <c r="AB62" s="2090" t="s">
        <v>1390</v>
      </c>
      <c r="AC62" s="1987" t="s">
        <v>80</v>
      </c>
      <c r="AD62" s="1986" t="s">
        <v>89</v>
      </c>
      <c r="AE62" s="1631" t="s">
        <v>169</v>
      </c>
      <c r="AF62" s="1644" t="s">
        <v>647</v>
      </c>
    </row>
    <row r="63" spans="1:32" ht="26.4" outlineLevel="1" x14ac:dyDescent="0.25">
      <c r="A63" s="14" t="s">
        <v>432</v>
      </c>
      <c r="B63" s="1685" t="s">
        <v>907</v>
      </c>
      <c r="C63" s="1721" t="s">
        <v>748</v>
      </c>
      <c r="D63" s="1687" t="s">
        <v>945</v>
      </c>
      <c r="E63" s="1722" t="s">
        <v>14</v>
      </c>
      <c r="F63" s="1688" t="s">
        <v>14</v>
      </c>
      <c r="G63" s="1689">
        <f>3575+53-0.65502</f>
        <v>3627.3449799999999</v>
      </c>
      <c r="H63" s="1240">
        <v>3559.5849800000001</v>
      </c>
      <c r="I63" s="1241">
        <v>67.760000000000005</v>
      </c>
      <c r="J63" s="1242">
        <v>0</v>
      </c>
      <c r="K63" s="1243">
        <v>67.760000000000005</v>
      </c>
      <c r="L63" s="1274">
        <f t="shared" si="6"/>
        <v>0</v>
      </c>
      <c r="M63" s="1245">
        <v>67.760000000000005</v>
      </c>
      <c r="N63" s="181">
        <v>0</v>
      </c>
      <c r="O63" s="2047">
        <f t="shared" si="3"/>
        <v>67.760000000000005</v>
      </c>
      <c r="P63" s="1245">
        <v>0</v>
      </c>
      <c r="Q63" s="1245">
        <v>0</v>
      </c>
      <c r="R63" s="1243">
        <v>0</v>
      </c>
      <c r="S63" s="2048">
        <v>0</v>
      </c>
      <c r="T63" s="2049">
        <v>0</v>
      </c>
      <c r="U63" s="1243">
        <v>0</v>
      </c>
      <c r="V63" s="1375">
        <v>0</v>
      </c>
      <c r="W63" s="1375">
        <v>0</v>
      </c>
      <c r="X63" s="2048">
        <v>0</v>
      </c>
      <c r="Y63" s="1274">
        <v>0</v>
      </c>
      <c r="Z63" s="2091" t="s">
        <v>72</v>
      </c>
      <c r="AA63" s="1687" t="s">
        <v>83</v>
      </c>
      <c r="AB63" s="2092" t="s">
        <v>528</v>
      </c>
      <c r="AC63" s="2051" t="s">
        <v>80</v>
      </c>
      <c r="AD63" s="2052" t="s">
        <v>89</v>
      </c>
      <c r="AE63" s="1688" t="s">
        <v>181</v>
      </c>
      <c r="AF63" s="1688" t="s">
        <v>647</v>
      </c>
    </row>
    <row r="64" spans="1:32" ht="46.8" outlineLevel="1" x14ac:dyDescent="0.25">
      <c r="A64" s="222" t="s">
        <v>433</v>
      </c>
      <c r="B64" s="1627" t="s">
        <v>630</v>
      </c>
      <c r="C64" s="1720" t="s">
        <v>434</v>
      </c>
      <c r="D64" s="1629" t="s">
        <v>945</v>
      </c>
      <c r="E64" s="1645" t="s">
        <v>14</v>
      </c>
      <c r="F64" s="1631" t="s">
        <v>14</v>
      </c>
      <c r="G64" s="1683">
        <f>28000+6545+0.35228</f>
        <v>34545.352279999999</v>
      </c>
      <c r="H64" s="1186">
        <v>20904.047610000001</v>
      </c>
      <c r="I64" s="1187">
        <v>0</v>
      </c>
      <c r="J64" s="1194">
        <v>403.01497000000001</v>
      </c>
      <c r="K64" s="1239">
        <v>0</v>
      </c>
      <c r="L64" s="1195">
        <f t="shared" si="6"/>
        <v>1791.3046699999977</v>
      </c>
      <c r="M64" s="1191">
        <v>1791.3046699999977</v>
      </c>
      <c r="N64" s="231">
        <v>0</v>
      </c>
      <c r="O64" s="1615">
        <f t="shared" si="3"/>
        <v>1791.3046699999977</v>
      </c>
      <c r="P64" s="1191">
        <v>0</v>
      </c>
      <c r="Q64" s="1191">
        <v>0</v>
      </c>
      <c r="R64" s="1239">
        <v>0</v>
      </c>
      <c r="S64" s="2003">
        <f>8000+3850</f>
        <v>11850</v>
      </c>
      <c r="T64" s="1616">
        <v>0</v>
      </c>
      <c r="U64" s="1239">
        <v>0</v>
      </c>
      <c r="V64" s="1189">
        <v>0</v>
      </c>
      <c r="W64" s="1189">
        <v>0</v>
      </c>
      <c r="X64" s="2003">
        <v>0</v>
      </c>
      <c r="Y64" s="1190">
        <v>0</v>
      </c>
      <c r="Z64" s="2093" t="s">
        <v>72</v>
      </c>
      <c r="AA64" s="1629" t="s">
        <v>151</v>
      </c>
      <c r="AB64" s="2090" t="s">
        <v>1073</v>
      </c>
      <c r="AC64" s="1987" t="s">
        <v>80</v>
      </c>
      <c r="AD64" s="1986" t="s">
        <v>89</v>
      </c>
      <c r="AE64" s="1631" t="s">
        <v>173</v>
      </c>
      <c r="AF64" s="1631" t="s">
        <v>647</v>
      </c>
    </row>
    <row r="65" spans="1:32" ht="27" outlineLevel="1" thickBot="1" x14ac:dyDescent="0.3">
      <c r="A65" s="226" t="s">
        <v>435</v>
      </c>
      <c r="B65" s="1659" t="s">
        <v>627</v>
      </c>
      <c r="C65" s="1718" t="s">
        <v>436</v>
      </c>
      <c r="D65" s="1661" t="s">
        <v>945</v>
      </c>
      <c r="E65" s="1662" t="s">
        <v>14</v>
      </c>
      <c r="F65" s="1663" t="s">
        <v>14</v>
      </c>
      <c r="G65" s="1719">
        <f>72000+50000</f>
        <v>122000</v>
      </c>
      <c r="H65" s="1272">
        <v>659.45</v>
      </c>
      <c r="I65" s="1214">
        <v>0</v>
      </c>
      <c r="J65" s="1215">
        <v>0</v>
      </c>
      <c r="K65" s="1273">
        <v>0</v>
      </c>
      <c r="L65" s="1275">
        <f t="shared" si="6"/>
        <v>29999.550000000003</v>
      </c>
      <c r="M65" s="1218">
        <v>29999.550000000003</v>
      </c>
      <c r="N65" s="224">
        <v>0</v>
      </c>
      <c r="O65" s="1619">
        <f t="shared" si="3"/>
        <v>29999.550000000003</v>
      </c>
      <c r="P65" s="1218">
        <f>40000+41341+10000</f>
        <v>91341</v>
      </c>
      <c r="Q65" s="1218">
        <v>0</v>
      </c>
      <c r="R65" s="1273">
        <v>0</v>
      </c>
      <c r="S65" s="2018">
        <v>0</v>
      </c>
      <c r="T65" s="1620">
        <v>0</v>
      </c>
      <c r="U65" s="1273">
        <v>0</v>
      </c>
      <c r="V65" s="1216">
        <v>0</v>
      </c>
      <c r="W65" s="1216">
        <v>0</v>
      </c>
      <c r="X65" s="2018">
        <v>0</v>
      </c>
      <c r="Y65" s="1275">
        <v>0</v>
      </c>
      <c r="Z65" s="2094"/>
      <c r="AA65" s="1661" t="s">
        <v>10</v>
      </c>
      <c r="AB65" s="2087" t="s">
        <v>1390</v>
      </c>
      <c r="AC65" s="2088" t="s">
        <v>80</v>
      </c>
      <c r="AD65" s="15" t="s">
        <v>89</v>
      </c>
      <c r="AE65" s="1663" t="s">
        <v>173</v>
      </c>
      <c r="AF65" s="1663" t="s">
        <v>648</v>
      </c>
    </row>
    <row r="66" spans="1:32" ht="26.4" outlineLevel="1" x14ac:dyDescent="0.25">
      <c r="A66" s="446" t="s">
        <v>473</v>
      </c>
      <c r="B66" s="447" t="s">
        <v>633</v>
      </c>
      <c r="C66" s="1094" t="s">
        <v>1533</v>
      </c>
      <c r="D66" s="40" t="s">
        <v>509</v>
      </c>
      <c r="E66" s="52" t="s">
        <v>14</v>
      </c>
      <c r="F66" s="948" t="s">
        <v>14</v>
      </c>
      <c r="G66" s="44">
        <f>10042+4000+520+5831+4961</f>
        <v>25354</v>
      </c>
      <c r="H66" s="150">
        <v>392.74757</v>
      </c>
      <c r="I66" s="1056">
        <v>0</v>
      </c>
      <c r="J66" s="1070">
        <v>0</v>
      </c>
      <c r="K66" s="453">
        <v>0</v>
      </c>
      <c r="L66" s="392">
        <f t="shared" si="6"/>
        <v>0.25243000000045868</v>
      </c>
      <c r="M66" s="135">
        <v>24961.25243</v>
      </c>
      <c r="N66" s="622">
        <v>-24961</v>
      </c>
      <c r="O66" s="622">
        <f t="shared" si="3"/>
        <v>0.25243000000045868</v>
      </c>
      <c r="P66" s="135">
        <v>24961</v>
      </c>
      <c r="Q66" s="135">
        <v>0</v>
      </c>
      <c r="R66" s="453">
        <v>0</v>
      </c>
      <c r="S66" s="818">
        <v>0</v>
      </c>
      <c r="T66" s="455">
        <v>0</v>
      </c>
      <c r="U66" s="453">
        <v>0</v>
      </c>
      <c r="V66" s="454">
        <v>0</v>
      </c>
      <c r="W66" s="454">
        <v>0</v>
      </c>
      <c r="X66" s="818">
        <v>0</v>
      </c>
      <c r="Y66" s="392">
        <v>0</v>
      </c>
      <c r="Z66" s="291" t="s">
        <v>1880</v>
      </c>
      <c r="AA66" s="40" t="s">
        <v>10</v>
      </c>
      <c r="AB66" s="876" t="s">
        <v>1237</v>
      </c>
      <c r="AC66" s="456" t="s">
        <v>80</v>
      </c>
      <c r="AD66" s="114" t="s">
        <v>89</v>
      </c>
      <c r="AE66" s="948" t="s">
        <v>186</v>
      </c>
      <c r="AF66" s="948" t="s">
        <v>647</v>
      </c>
    </row>
    <row r="67" spans="1:32" ht="26.4" outlineLevel="1" x14ac:dyDescent="0.25">
      <c r="A67" s="14" t="s">
        <v>474</v>
      </c>
      <c r="B67" s="1685" t="s">
        <v>1171</v>
      </c>
      <c r="C67" s="1721" t="s">
        <v>475</v>
      </c>
      <c r="D67" s="1687" t="s">
        <v>1627</v>
      </c>
      <c r="E67" s="1722" t="s">
        <v>14</v>
      </c>
      <c r="F67" s="1688" t="s">
        <v>14</v>
      </c>
      <c r="G67" s="1689">
        <f>4258+610+2722-4152.36496+461.32644</f>
        <v>3898.9614799999999</v>
      </c>
      <c r="H67" s="1240">
        <v>2264.6350400000001</v>
      </c>
      <c r="I67" s="1241">
        <v>461.32643999999999</v>
      </c>
      <c r="J67" s="1242">
        <v>0</v>
      </c>
      <c r="K67" s="1243">
        <v>461.32643999999999</v>
      </c>
      <c r="L67" s="1274">
        <f t="shared" si="6"/>
        <v>0</v>
      </c>
      <c r="M67" s="1276">
        <v>461.32643999999982</v>
      </c>
      <c r="N67" s="181">
        <v>0</v>
      </c>
      <c r="O67" s="2095">
        <f t="shared" si="3"/>
        <v>461.32643999999982</v>
      </c>
      <c r="P67" s="1245">
        <v>0</v>
      </c>
      <c r="Q67" s="1245">
        <v>0</v>
      </c>
      <c r="R67" s="1243">
        <v>0</v>
      </c>
      <c r="S67" s="2048">
        <v>1173</v>
      </c>
      <c r="T67" s="2049">
        <v>0</v>
      </c>
      <c r="U67" s="1243">
        <v>0</v>
      </c>
      <c r="V67" s="1375">
        <v>0</v>
      </c>
      <c r="W67" s="1375">
        <v>0</v>
      </c>
      <c r="X67" s="2048">
        <v>0</v>
      </c>
      <c r="Y67" s="1274">
        <v>0</v>
      </c>
      <c r="Z67" s="2091" t="s">
        <v>72</v>
      </c>
      <c r="AA67" s="1687" t="s">
        <v>83</v>
      </c>
      <c r="AB67" s="2050" t="s">
        <v>986</v>
      </c>
      <c r="AC67" s="2096" t="s">
        <v>80</v>
      </c>
      <c r="AD67" s="2052" t="s">
        <v>89</v>
      </c>
      <c r="AE67" s="1688" t="s">
        <v>180</v>
      </c>
      <c r="AF67" s="1688" t="s">
        <v>648</v>
      </c>
    </row>
    <row r="68" spans="1:32" ht="26.4" outlineLevel="1" x14ac:dyDescent="0.25">
      <c r="A68" s="222" t="s">
        <v>476</v>
      </c>
      <c r="B68" s="1627" t="s">
        <v>856</v>
      </c>
      <c r="C68" s="1723" t="s">
        <v>477</v>
      </c>
      <c r="D68" s="1629" t="s">
        <v>509</v>
      </c>
      <c r="E68" s="1629" t="s">
        <v>14</v>
      </c>
      <c r="F68" s="1631" t="s">
        <v>14</v>
      </c>
      <c r="G68" s="1683">
        <f>14984.10487+469</f>
        <v>15453.104869999999</v>
      </c>
      <c r="H68" s="1186">
        <v>14984.104869999999</v>
      </c>
      <c r="I68" s="1187">
        <v>0</v>
      </c>
      <c r="J68" s="1194">
        <v>0</v>
      </c>
      <c r="K68" s="1239">
        <v>0</v>
      </c>
      <c r="L68" s="1190">
        <v>469</v>
      </c>
      <c r="M68" s="1191">
        <v>469</v>
      </c>
      <c r="N68" s="443">
        <v>0</v>
      </c>
      <c r="O68" s="1615">
        <f t="shared" si="3"/>
        <v>469</v>
      </c>
      <c r="P68" s="1191">
        <v>0</v>
      </c>
      <c r="Q68" s="2097">
        <v>0</v>
      </c>
      <c r="R68" s="1367">
        <v>0</v>
      </c>
      <c r="S68" s="2098">
        <v>0</v>
      </c>
      <c r="T68" s="2099">
        <v>0</v>
      </c>
      <c r="U68" s="1367">
        <v>0</v>
      </c>
      <c r="V68" s="1369">
        <v>0</v>
      </c>
      <c r="W68" s="1369">
        <v>0</v>
      </c>
      <c r="X68" s="2098">
        <v>0</v>
      </c>
      <c r="Y68" s="2100">
        <v>0</v>
      </c>
      <c r="Z68" s="2101" t="s">
        <v>72</v>
      </c>
      <c r="AA68" s="1808" t="s">
        <v>151</v>
      </c>
      <c r="AB68" s="2102" t="s">
        <v>1073</v>
      </c>
      <c r="AC68" s="2103" t="s">
        <v>80</v>
      </c>
      <c r="AD68" s="2104" t="s">
        <v>89</v>
      </c>
      <c r="AE68" s="1631" t="s">
        <v>180</v>
      </c>
      <c r="AF68" s="1878"/>
    </row>
    <row r="69" spans="1:32" s="952" customFormat="1" ht="27" outlineLevel="1" thickBot="1" x14ac:dyDescent="0.3">
      <c r="A69" s="692" t="s">
        <v>478</v>
      </c>
      <c r="B69" s="1724" t="s">
        <v>1139</v>
      </c>
      <c r="C69" s="1725" t="s">
        <v>479</v>
      </c>
      <c r="D69" s="1726" t="s">
        <v>509</v>
      </c>
      <c r="E69" s="1727" t="s">
        <v>14</v>
      </c>
      <c r="F69" s="1728" t="s">
        <v>14</v>
      </c>
      <c r="G69" s="1729">
        <f>7000+400-2900-415</f>
        <v>4085</v>
      </c>
      <c r="H69" s="1277">
        <v>4004.9172199999998</v>
      </c>
      <c r="I69" s="1278">
        <v>0</v>
      </c>
      <c r="J69" s="1279">
        <v>0</v>
      </c>
      <c r="K69" s="1280">
        <v>0</v>
      </c>
      <c r="L69" s="1281">
        <f t="shared" ref="L69:L100" si="7">O69-K69</f>
        <v>80.082780000000184</v>
      </c>
      <c r="M69" s="1282">
        <v>495.08278000000018</v>
      </c>
      <c r="N69" s="1095">
        <v>-415</v>
      </c>
      <c r="O69" s="2105">
        <f t="shared" si="3"/>
        <v>80.082780000000184</v>
      </c>
      <c r="P69" s="1282">
        <v>0</v>
      </c>
      <c r="Q69" s="1320">
        <v>0</v>
      </c>
      <c r="R69" s="1318">
        <v>0</v>
      </c>
      <c r="S69" s="2106">
        <v>0</v>
      </c>
      <c r="T69" s="2107">
        <v>0</v>
      </c>
      <c r="U69" s="1318">
        <v>0</v>
      </c>
      <c r="V69" s="2108">
        <v>0</v>
      </c>
      <c r="W69" s="2108">
        <v>0</v>
      </c>
      <c r="X69" s="2106">
        <v>0</v>
      </c>
      <c r="Y69" s="2109">
        <v>0</v>
      </c>
      <c r="Z69" s="2110" t="s">
        <v>1881</v>
      </c>
      <c r="AA69" s="1726" t="s">
        <v>151</v>
      </c>
      <c r="AB69" s="2111" t="s">
        <v>1073</v>
      </c>
      <c r="AC69" s="2112" t="s">
        <v>80</v>
      </c>
      <c r="AD69" s="2113" t="s">
        <v>89</v>
      </c>
      <c r="AE69" s="1728" t="s">
        <v>168</v>
      </c>
      <c r="AF69" s="1728" t="s">
        <v>648</v>
      </c>
    </row>
    <row r="70" spans="1:32" ht="31.2" outlineLevel="1" x14ac:dyDescent="0.25">
      <c r="A70" s="225" t="s">
        <v>529</v>
      </c>
      <c r="B70" s="1640" t="s">
        <v>1182</v>
      </c>
      <c r="C70" s="1730" t="s">
        <v>530</v>
      </c>
      <c r="D70" s="1642" t="s">
        <v>1009</v>
      </c>
      <c r="E70" s="1643" t="s">
        <v>14</v>
      </c>
      <c r="F70" s="1731" t="s">
        <v>14</v>
      </c>
      <c r="G70" s="1499">
        <f>42000+2176+724</f>
        <v>44900</v>
      </c>
      <c r="H70" s="1192">
        <v>19675.784759999999</v>
      </c>
      <c r="I70" s="1182">
        <v>8663.8553400000001</v>
      </c>
      <c r="J70" s="1188">
        <v>9613.3065299999998</v>
      </c>
      <c r="K70" s="1237">
        <v>8663.8553400000001</v>
      </c>
      <c r="L70" s="1185">
        <f t="shared" si="7"/>
        <v>15060.359900000001</v>
      </c>
      <c r="M70" s="1169">
        <v>23724.215240000001</v>
      </c>
      <c r="N70" s="229">
        <v>0</v>
      </c>
      <c r="O70" s="1617">
        <f t="shared" si="3"/>
        <v>23724.215240000001</v>
      </c>
      <c r="P70" s="1169">
        <v>0</v>
      </c>
      <c r="Q70" s="1169">
        <v>0</v>
      </c>
      <c r="R70" s="1237">
        <v>0</v>
      </c>
      <c r="S70" s="1999">
        <v>1500</v>
      </c>
      <c r="T70" s="1618">
        <v>0</v>
      </c>
      <c r="U70" s="1237">
        <f>25000+17676+724</f>
        <v>43400</v>
      </c>
      <c r="V70" s="1184">
        <v>19675.784760000002</v>
      </c>
      <c r="W70" s="1184">
        <f>8663.85534+232.82487+150.887</f>
        <v>9047.5672100000011</v>
      </c>
      <c r="X70" s="1999">
        <f>5324.21524+17676-47+771</f>
        <v>23724.215240000001</v>
      </c>
      <c r="Y70" s="1238">
        <v>0</v>
      </c>
      <c r="Z70" s="2089" t="s">
        <v>72</v>
      </c>
      <c r="AA70" s="1642" t="s">
        <v>10</v>
      </c>
      <c r="AB70" s="2002" t="s">
        <v>1073</v>
      </c>
      <c r="AC70" s="2002" t="s">
        <v>80</v>
      </c>
      <c r="AD70" s="2002" t="s">
        <v>89</v>
      </c>
      <c r="AE70" s="1644" t="s">
        <v>168</v>
      </c>
      <c r="AF70" s="1644"/>
    </row>
    <row r="71" spans="1:32" ht="26.4" outlineLevel="1" x14ac:dyDescent="0.25">
      <c r="A71" s="709" t="s">
        <v>531</v>
      </c>
      <c r="B71" s="1732" t="s">
        <v>858</v>
      </c>
      <c r="C71" s="1733" t="s">
        <v>532</v>
      </c>
      <c r="D71" s="1734" t="s">
        <v>1009</v>
      </c>
      <c r="E71" s="1735" t="s">
        <v>14</v>
      </c>
      <c r="F71" s="1736" t="s">
        <v>14</v>
      </c>
      <c r="G71" s="1737">
        <f>62341+1600</f>
        <v>63941</v>
      </c>
      <c r="H71" s="1283">
        <v>2797.4569899999997</v>
      </c>
      <c r="I71" s="1284">
        <v>2761.2877099999996</v>
      </c>
      <c r="J71" s="1285">
        <v>39948.446519999998</v>
      </c>
      <c r="K71" s="1286">
        <v>2761.2877099999996</v>
      </c>
      <c r="L71" s="1287">
        <f t="shared" si="7"/>
        <v>48838.255300000004</v>
      </c>
      <c r="M71" s="1288">
        <v>49999.543010000001</v>
      </c>
      <c r="N71" s="710">
        <v>1600</v>
      </c>
      <c r="O71" s="2114">
        <f t="shared" si="3"/>
        <v>51599.543010000001</v>
      </c>
      <c r="P71" s="1288">
        <v>9544</v>
      </c>
      <c r="Q71" s="1288">
        <v>0</v>
      </c>
      <c r="R71" s="1286">
        <v>0</v>
      </c>
      <c r="S71" s="2115">
        <v>0</v>
      </c>
      <c r="T71" s="2116">
        <v>0</v>
      </c>
      <c r="U71" s="1286">
        <v>0</v>
      </c>
      <c r="V71" s="2117">
        <v>0</v>
      </c>
      <c r="W71" s="2117">
        <v>0</v>
      </c>
      <c r="X71" s="2115">
        <v>0</v>
      </c>
      <c r="Y71" s="1287">
        <v>0</v>
      </c>
      <c r="Z71" s="2118" t="s">
        <v>1803</v>
      </c>
      <c r="AA71" s="1964" t="s">
        <v>10</v>
      </c>
      <c r="AB71" s="2119" t="s">
        <v>1237</v>
      </c>
      <c r="AC71" s="2120" t="s">
        <v>80</v>
      </c>
      <c r="AD71" s="2120" t="s">
        <v>89</v>
      </c>
      <c r="AE71" s="2121" t="s">
        <v>560</v>
      </c>
      <c r="AF71" s="2121"/>
    </row>
    <row r="72" spans="1:32" ht="43.2" outlineLevel="1" x14ac:dyDescent="0.3">
      <c r="A72" s="457" t="s">
        <v>534</v>
      </c>
      <c r="B72" s="458" t="s">
        <v>75</v>
      </c>
      <c r="C72" s="1096" t="s">
        <v>1286</v>
      </c>
      <c r="D72" s="40" t="s">
        <v>1009</v>
      </c>
      <c r="E72" s="32" t="s">
        <v>14</v>
      </c>
      <c r="F72" s="982" t="s">
        <v>14</v>
      </c>
      <c r="G72" s="47">
        <v>21640</v>
      </c>
      <c r="H72" s="144">
        <v>0</v>
      </c>
      <c r="I72" s="958">
        <v>0</v>
      </c>
      <c r="J72" s="959">
        <v>1878.2929200000001</v>
      </c>
      <c r="K72" s="463">
        <v>0</v>
      </c>
      <c r="L72" s="797">
        <f t="shared" si="7"/>
        <v>4550</v>
      </c>
      <c r="M72" s="135">
        <v>4640</v>
      </c>
      <c r="N72" s="462">
        <v>-90</v>
      </c>
      <c r="O72" s="462">
        <f t="shared" si="3"/>
        <v>4550</v>
      </c>
      <c r="P72" s="460">
        <f>17000+90</f>
        <v>17090</v>
      </c>
      <c r="Q72" s="460">
        <v>0</v>
      </c>
      <c r="R72" s="463">
        <v>0</v>
      </c>
      <c r="S72" s="820">
        <v>0</v>
      </c>
      <c r="T72" s="465">
        <v>0</v>
      </c>
      <c r="U72" s="463">
        <v>0</v>
      </c>
      <c r="V72" s="464">
        <v>0</v>
      </c>
      <c r="W72" s="464">
        <v>0</v>
      </c>
      <c r="X72" s="820">
        <v>0</v>
      </c>
      <c r="Y72" s="797">
        <v>0</v>
      </c>
      <c r="Z72" s="292" t="s">
        <v>1882</v>
      </c>
      <c r="AA72" s="41" t="s">
        <v>10</v>
      </c>
      <c r="AB72" s="49" t="s">
        <v>1073</v>
      </c>
      <c r="AC72" s="49" t="s">
        <v>80</v>
      </c>
      <c r="AD72" s="49" t="s">
        <v>89</v>
      </c>
      <c r="AE72" s="1097" t="s">
        <v>542</v>
      </c>
      <c r="AF72" s="1098"/>
    </row>
    <row r="73" spans="1:32" ht="26.4" outlineLevel="1" x14ac:dyDescent="0.25">
      <c r="A73" s="709" t="s">
        <v>535</v>
      </c>
      <c r="B73" s="1732" t="s">
        <v>1180</v>
      </c>
      <c r="C73" s="1733" t="s">
        <v>868</v>
      </c>
      <c r="D73" s="1734" t="s">
        <v>1009</v>
      </c>
      <c r="E73" s="1735" t="s">
        <v>14</v>
      </c>
      <c r="F73" s="1736" t="s">
        <v>14</v>
      </c>
      <c r="G73" s="1737">
        <f>21000+737+300</f>
        <v>22037</v>
      </c>
      <c r="H73" s="1283">
        <v>10547.956530000001</v>
      </c>
      <c r="I73" s="1284">
        <v>667.41714999999999</v>
      </c>
      <c r="J73" s="1285">
        <v>736.58763999999996</v>
      </c>
      <c r="K73" s="1286">
        <v>667.41714999999999</v>
      </c>
      <c r="L73" s="1289">
        <f t="shared" si="7"/>
        <v>10821.626319999999</v>
      </c>
      <c r="M73" s="1288">
        <v>11189.043469999999</v>
      </c>
      <c r="N73" s="710">
        <v>300</v>
      </c>
      <c r="O73" s="2122">
        <f t="shared" si="3"/>
        <v>11489.043469999999</v>
      </c>
      <c r="P73" s="1288">
        <v>0</v>
      </c>
      <c r="Q73" s="1288">
        <v>0</v>
      </c>
      <c r="R73" s="1286">
        <v>0</v>
      </c>
      <c r="S73" s="2115">
        <v>0</v>
      </c>
      <c r="T73" s="2116">
        <v>0</v>
      </c>
      <c r="U73" s="1286">
        <v>0</v>
      </c>
      <c r="V73" s="2117">
        <v>0</v>
      </c>
      <c r="W73" s="2117">
        <v>0</v>
      </c>
      <c r="X73" s="2115">
        <v>0</v>
      </c>
      <c r="Y73" s="1287">
        <v>0</v>
      </c>
      <c r="Z73" s="2118" t="s">
        <v>1804</v>
      </c>
      <c r="AA73" s="1964" t="s">
        <v>151</v>
      </c>
      <c r="AB73" s="2119" t="s">
        <v>382</v>
      </c>
      <c r="AC73" s="2120" t="s">
        <v>80</v>
      </c>
      <c r="AD73" s="2120" t="s">
        <v>89</v>
      </c>
      <c r="AE73" s="2121" t="s">
        <v>182</v>
      </c>
      <c r="AF73" s="2121"/>
    </row>
    <row r="74" spans="1:32" ht="27" outlineLevel="1" thickBot="1" x14ac:dyDescent="0.3">
      <c r="A74" s="226" t="s">
        <v>536</v>
      </c>
      <c r="B74" s="1659" t="s">
        <v>857</v>
      </c>
      <c r="C74" s="1718" t="s">
        <v>537</v>
      </c>
      <c r="D74" s="1661" t="s">
        <v>1009</v>
      </c>
      <c r="E74" s="1662" t="s">
        <v>14</v>
      </c>
      <c r="F74" s="1738" t="s">
        <v>14</v>
      </c>
      <c r="G74" s="1719">
        <v>74424</v>
      </c>
      <c r="H74" s="1213">
        <v>719.10299999999995</v>
      </c>
      <c r="I74" s="1214">
        <v>0</v>
      </c>
      <c r="J74" s="1215">
        <v>0</v>
      </c>
      <c r="K74" s="1273">
        <v>0</v>
      </c>
      <c r="L74" s="1275">
        <f t="shared" si="7"/>
        <v>1000</v>
      </c>
      <c r="M74" s="1218">
        <v>1000</v>
      </c>
      <c r="N74" s="224">
        <v>0</v>
      </c>
      <c r="O74" s="1619">
        <f t="shared" si="3"/>
        <v>1000</v>
      </c>
      <c r="P74" s="1218">
        <v>65682.896999999997</v>
      </c>
      <c r="Q74" s="1218">
        <v>0</v>
      </c>
      <c r="R74" s="1273">
        <v>0</v>
      </c>
      <c r="S74" s="2018">
        <v>7022</v>
      </c>
      <c r="T74" s="1363">
        <v>0</v>
      </c>
      <c r="U74" s="1273">
        <v>0</v>
      </c>
      <c r="V74" s="1216">
        <v>0</v>
      </c>
      <c r="W74" s="1216">
        <v>0</v>
      </c>
      <c r="X74" s="2018">
        <v>0</v>
      </c>
      <c r="Y74" s="1275">
        <v>0</v>
      </c>
      <c r="Z74" s="2094" t="s">
        <v>72</v>
      </c>
      <c r="AA74" s="1661" t="s">
        <v>8</v>
      </c>
      <c r="AB74" s="15" t="s">
        <v>1316</v>
      </c>
      <c r="AC74" s="15" t="s">
        <v>79</v>
      </c>
      <c r="AD74" s="15" t="s">
        <v>90</v>
      </c>
      <c r="AE74" s="1663" t="s">
        <v>169</v>
      </c>
      <c r="AF74" s="1663"/>
    </row>
    <row r="75" spans="1:32" ht="26.4" outlineLevel="1" x14ac:dyDescent="0.25">
      <c r="A75" s="225" t="s">
        <v>611</v>
      </c>
      <c r="B75" s="1640" t="s">
        <v>1490</v>
      </c>
      <c r="C75" s="1730" t="s">
        <v>578</v>
      </c>
      <c r="D75" s="1642" t="s">
        <v>1008</v>
      </c>
      <c r="E75" s="1643" t="s">
        <v>14</v>
      </c>
      <c r="F75" s="1731" t="s">
        <v>14</v>
      </c>
      <c r="G75" s="1499">
        <v>220000</v>
      </c>
      <c r="H75" s="1192">
        <v>0</v>
      </c>
      <c r="I75" s="1182">
        <v>3814.2072400000002</v>
      </c>
      <c r="J75" s="1188">
        <v>27376.089439999996</v>
      </c>
      <c r="K75" s="1237">
        <v>3814.2072400000002</v>
      </c>
      <c r="L75" s="1238">
        <f t="shared" si="7"/>
        <v>116185.79276</v>
      </c>
      <c r="M75" s="1169">
        <v>120000</v>
      </c>
      <c r="N75" s="229">
        <v>0</v>
      </c>
      <c r="O75" s="1617">
        <f t="shared" si="3"/>
        <v>120000</v>
      </c>
      <c r="P75" s="1169">
        <v>100000</v>
      </c>
      <c r="Q75" s="1169">
        <v>0</v>
      </c>
      <c r="R75" s="1237">
        <v>0</v>
      </c>
      <c r="S75" s="1999">
        <v>0</v>
      </c>
      <c r="T75" s="1360">
        <v>0</v>
      </c>
      <c r="U75" s="1237">
        <v>0</v>
      </c>
      <c r="V75" s="1184">
        <v>0</v>
      </c>
      <c r="W75" s="1184">
        <v>0</v>
      </c>
      <c r="X75" s="1999">
        <v>0</v>
      </c>
      <c r="Y75" s="1238">
        <v>0</v>
      </c>
      <c r="Z75" s="2089" t="s">
        <v>72</v>
      </c>
      <c r="AA75" s="1642" t="s">
        <v>10</v>
      </c>
      <c r="AB75" s="2002" t="s">
        <v>1237</v>
      </c>
      <c r="AC75" s="2002" t="s">
        <v>80</v>
      </c>
      <c r="AD75" s="2002" t="s">
        <v>89</v>
      </c>
      <c r="AE75" s="1644" t="s">
        <v>179</v>
      </c>
      <c r="AF75" s="1644"/>
    </row>
    <row r="76" spans="1:32" ht="26.4" outlineLevel="1" x14ac:dyDescent="0.25">
      <c r="A76" s="709" t="s">
        <v>612</v>
      </c>
      <c r="B76" s="1732" t="s">
        <v>911</v>
      </c>
      <c r="C76" s="1733" t="s">
        <v>579</v>
      </c>
      <c r="D76" s="1734" t="s">
        <v>1008</v>
      </c>
      <c r="E76" s="1739" t="s">
        <v>14</v>
      </c>
      <c r="F76" s="1740" t="s">
        <v>14</v>
      </c>
      <c r="G76" s="1737">
        <f>35000+450.846+5000+2200</f>
        <v>42650.845999999998</v>
      </c>
      <c r="H76" s="1283">
        <v>450.846</v>
      </c>
      <c r="I76" s="1284">
        <v>0</v>
      </c>
      <c r="J76" s="1285">
        <v>10059.014279999999</v>
      </c>
      <c r="K76" s="1286">
        <v>0</v>
      </c>
      <c r="L76" s="1287">
        <f t="shared" si="7"/>
        <v>42200</v>
      </c>
      <c r="M76" s="1288">
        <v>40000</v>
      </c>
      <c r="N76" s="710">
        <v>2200</v>
      </c>
      <c r="O76" s="2122">
        <f t="shared" si="3"/>
        <v>42200</v>
      </c>
      <c r="P76" s="1288">
        <v>0</v>
      </c>
      <c r="Q76" s="1288">
        <v>0</v>
      </c>
      <c r="R76" s="1286">
        <v>0</v>
      </c>
      <c r="S76" s="2115">
        <v>0</v>
      </c>
      <c r="T76" s="2123">
        <v>0</v>
      </c>
      <c r="U76" s="1286">
        <v>0</v>
      </c>
      <c r="V76" s="2117">
        <v>0</v>
      </c>
      <c r="W76" s="2117">
        <v>0</v>
      </c>
      <c r="X76" s="2115">
        <v>0</v>
      </c>
      <c r="Y76" s="1287">
        <v>0</v>
      </c>
      <c r="Z76" s="2124" t="s">
        <v>1805</v>
      </c>
      <c r="AA76" s="1964" t="s">
        <v>151</v>
      </c>
      <c r="AB76" s="2120" t="s">
        <v>382</v>
      </c>
      <c r="AC76" s="2120" t="s">
        <v>80</v>
      </c>
      <c r="AD76" s="2120" t="s">
        <v>89</v>
      </c>
      <c r="AE76" s="2121" t="s">
        <v>169</v>
      </c>
      <c r="AF76" s="2121"/>
    </row>
    <row r="77" spans="1:32" ht="26.4" outlineLevel="1" x14ac:dyDescent="0.25">
      <c r="A77" s="457" t="s">
        <v>613</v>
      </c>
      <c r="B77" s="458" t="s">
        <v>75</v>
      </c>
      <c r="C77" s="1096" t="s">
        <v>580</v>
      </c>
      <c r="D77" s="40" t="s">
        <v>1008</v>
      </c>
      <c r="E77" s="52" t="s">
        <v>14</v>
      </c>
      <c r="F77" s="951" t="s">
        <v>14</v>
      </c>
      <c r="G77" s="47">
        <f>50000</f>
        <v>50000</v>
      </c>
      <c r="H77" s="144">
        <v>0</v>
      </c>
      <c r="I77" s="958">
        <v>0</v>
      </c>
      <c r="J77" s="959">
        <v>0</v>
      </c>
      <c r="K77" s="463">
        <v>0</v>
      </c>
      <c r="L77" s="797">
        <f t="shared" si="7"/>
        <v>0</v>
      </c>
      <c r="M77" s="460">
        <v>18000</v>
      </c>
      <c r="N77" s="462">
        <v>-18000</v>
      </c>
      <c r="O77" s="462">
        <f t="shared" si="3"/>
        <v>0</v>
      </c>
      <c r="P77" s="460">
        <f>13500+17000+18000</f>
        <v>48500</v>
      </c>
      <c r="Q77" s="460">
        <v>0</v>
      </c>
      <c r="R77" s="463">
        <v>0</v>
      </c>
      <c r="S77" s="820">
        <v>1500</v>
      </c>
      <c r="T77" s="796">
        <v>0</v>
      </c>
      <c r="U77" s="463">
        <v>0</v>
      </c>
      <c r="V77" s="464">
        <v>0</v>
      </c>
      <c r="W77" s="464">
        <v>0</v>
      </c>
      <c r="X77" s="820">
        <v>0</v>
      </c>
      <c r="Y77" s="797">
        <v>0</v>
      </c>
      <c r="Z77" s="292" t="s">
        <v>1883</v>
      </c>
      <c r="AA77" s="41" t="s">
        <v>10</v>
      </c>
      <c r="AB77" s="49" t="s">
        <v>1237</v>
      </c>
      <c r="AC77" s="49" t="s">
        <v>80</v>
      </c>
      <c r="AD77" s="49" t="s">
        <v>89</v>
      </c>
      <c r="AE77" s="957" t="s">
        <v>175</v>
      </c>
      <c r="AF77" s="957"/>
    </row>
    <row r="78" spans="1:32" ht="26.4" outlineLevel="1" x14ac:dyDescent="0.25">
      <c r="A78" s="14" t="s">
        <v>614</v>
      </c>
      <c r="B78" s="1685" t="s">
        <v>968</v>
      </c>
      <c r="C78" s="1721" t="s">
        <v>581</v>
      </c>
      <c r="D78" s="1741" t="s">
        <v>1008</v>
      </c>
      <c r="E78" s="1742" t="s">
        <v>14</v>
      </c>
      <c r="F78" s="1743" t="s">
        <v>14</v>
      </c>
      <c r="G78" s="1689">
        <f>10245.55401+41-0.344</f>
        <v>10286.210010000001</v>
      </c>
      <c r="H78" s="1290">
        <v>10245.55401</v>
      </c>
      <c r="I78" s="1241">
        <v>40.655999999999999</v>
      </c>
      <c r="J78" s="1242">
        <v>0</v>
      </c>
      <c r="K78" s="1243">
        <v>40.655999999999999</v>
      </c>
      <c r="L78" s="1274">
        <f t="shared" si="7"/>
        <v>0</v>
      </c>
      <c r="M78" s="1245">
        <v>40.655999999999999</v>
      </c>
      <c r="N78" s="181">
        <v>0</v>
      </c>
      <c r="O78" s="2047">
        <f t="shared" si="3"/>
        <v>40.655999999999999</v>
      </c>
      <c r="P78" s="1245">
        <v>0</v>
      </c>
      <c r="Q78" s="1245">
        <v>0</v>
      </c>
      <c r="R78" s="1243">
        <v>0</v>
      </c>
      <c r="S78" s="2048">
        <v>0</v>
      </c>
      <c r="T78" s="1374">
        <v>0</v>
      </c>
      <c r="U78" s="1243">
        <v>0</v>
      </c>
      <c r="V78" s="1375">
        <v>0</v>
      </c>
      <c r="W78" s="1375">
        <v>0</v>
      </c>
      <c r="X78" s="2048">
        <v>0</v>
      </c>
      <c r="Y78" s="1274">
        <v>0</v>
      </c>
      <c r="Z78" s="2091" t="s">
        <v>72</v>
      </c>
      <c r="AA78" s="1687" t="s">
        <v>83</v>
      </c>
      <c r="AB78" s="2125" t="s">
        <v>528</v>
      </c>
      <c r="AC78" s="2052" t="s">
        <v>80</v>
      </c>
      <c r="AD78" s="2052" t="s">
        <v>89</v>
      </c>
      <c r="AE78" s="1688" t="s">
        <v>230</v>
      </c>
      <c r="AF78" s="1688"/>
    </row>
    <row r="79" spans="1:32" ht="26.4" outlineLevel="1" x14ac:dyDescent="0.25">
      <c r="A79" s="457" t="s">
        <v>615</v>
      </c>
      <c r="B79" s="458" t="s">
        <v>1172</v>
      </c>
      <c r="C79" s="1096" t="s">
        <v>582</v>
      </c>
      <c r="D79" s="40" t="s">
        <v>1008</v>
      </c>
      <c r="E79" s="52" t="s">
        <v>14</v>
      </c>
      <c r="F79" s="951" t="s">
        <v>14</v>
      </c>
      <c r="G79" s="47">
        <f>18330+1662</f>
        <v>19992</v>
      </c>
      <c r="H79" s="144">
        <v>7891.5039199999992</v>
      </c>
      <c r="I79" s="958">
        <v>0</v>
      </c>
      <c r="J79" s="959">
        <v>4436.8649800000003</v>
      </c>
      <c r="K79" s="463">
        <v>0</v>
      </c>
      <c r="L79" s="654">
        <f t="shared" si="7"/>
        <v>8000.4960800000008</v>
      </c>
      <c r="M79" s="460">
        <v>12100.496080000001</v>
      </c>
      <c r="N79" s="462">
        <v>-4100</v>
      </c>
      <c r="O79" s="462">
        <f t="shared" si="3"/>
        <v>8000.4960800000008</v>
      </c>
      <c r="P79" s="460">
        <v>4100</v>
      </c>
      <c r="Q79" s="460">
        <v>0</v>
      </c>
      <c r="R79" s="463">
        <v>0</v>
      </c>
      <c r="S79" s="820">
        <v>0</v>
      </c>
      <c r="T79" s="796">
        <v>0</v>
      </c>
      <c r="U79" s="463">
        <v>0</v>
      </c>
      <c r="V79" s="464">
        <v>0</v>
      </c>
      <c r="W79" s="464">
        <v>0</v>
      </c>
      <c r="X79" s="820">
        <v>0</v>
      </c>
      <c r="Y79" s="797">
        <v>0</v>
      </c>
      <c r="Z79" s="292" t="s">
        <v>1884</v>
      </c>
      <c r="AA79" s="41" t="s">
        <v>151</v>
      </c>
      <c r="AB79" s="49" t="s">
        <v>382</v>
      </c>
      <c r="AC79" s="49" t="s">
        <v>80</v>
      </c>
      <c r="AD79" s="49" t="s">
        <v>89</v>
      </c>
      <c r="AE79" s="957" t="s">
        <v>175</v>
      </c>
      <c r="AF79" s="957"/>
    </row>
    <row r="80" spans="1:32" s="1050" customFormat="1" ht="26.4" outlineLevel="1" x14ac:dyDescent="0.25">
      <c r="A80" s="241" t="s">
        <v>616</v>
      </c>
      <c r="B80" s="1744" t="s">
        <v>1186</v>
      </c>
      <c r="C80" s="1745" t="s">
        <v>749</v>
      </c>
      <c r="D80" s="1707" t="s">
        <v>1008</v>
      </c>
      <c r="E80" s="1708" t="s">
        <v>14</v>
      </c>
      <c r="F80" s="1746" t="s">
        <v>14</v>
      </c>
      <c r="G80" s="1747">
        <f>36360-11060+1054-34-0.57875</f>
        <v>26319.421249999999</v>
      </c>
      <c r="H80" s="1291">
        <v>25153.893639999998</v>
      </c>
      <c r="I80" s="1292">
        <v>831.56760999999995</v>
      </c>
      <c r="J80" s="1293">
        <v>333.96</v>
      </c>
      <c r="K80" s="1294">
        <v>831.56760999999995</v>
      </c>
      <c r="L80" s="1295">
        <f t="shared" si="7"/>
        <v>333.96000000000015</v>
      </c>
      <c r="M80" s="1296">
        <v>1166.10636</v>
      </c>
      <c r="N80" s="242">
        <f>0-0.57875</f>
        <v>-0.57874999999999999</v>
      </c>
      <c r="O80" s="1816">
        <f t="shared" si="3"/>
        <v>1165.5276100000001</v>
      </c>
      <c r="P80" s="1296">
        <v>0</v>
      </c>
      <c r="Q80" s="1296">
        <v>0</v>
      </c>
      <c r="R80" s="1294">
        <v>0</v>
      </c>
      <c r="S80" s="2126">
        <v>0</v>
      </c>
      <c r="T80" s="1355">
        <v>0</v>
      </c>
      <c r="U80" s="1294">
        <v>0</v>
      </c>
      <c r="V80" s="1356">
        <v>0</v>
      </c>
      <c r="W80" s="1356">
        <v>0</v>
      </c>
      <c r="X80" s="2126">
        <v>0</v>
      </c>
      <c r="Y80" s="1295">
        <v>0</v>
      </c>
      <c r="Z80" s="2127" t="s">
        <v>112</v>
      </c>
      <c r="AA80" s="1803" t="s">
        <v>83</v>
      </c>
      <c r="AB80" s="2128" t="s">
        <v>448</v>
      </c>
      <c r="AC80" s="2128" t="s">
        <v>80</v>
      </c>
      <c r="AD80" s="2128" t="s">
        <v>89</v>
      </c>
      <c r="AE80" s="1905" t="s">
        <v>185</v>
      </c>
      <c r="AF80" s="1905"/>
    </row>
    <row r="81" spans="1:32" s="1050" customFormat="1" ht="26.4" outlineLevel="1" x14ac:dyDescent="0.25">
      <c r="A81" s="241" t="s">
        <v>617</v>
      </c>
      <c r="B81" s="1744" t="s">
        <v>1141</v>
      </c>
      <c r="C81" s="1745" t="s">
        <v>583</v>
      </c>
      <c r="D81" s="1707" t="s">
        <v>1008</v>
      </c>
      <c r="E81" s="1708" t="s">
        <v>14</v>
      </c>
      <c r="F81" s="1746" t="s">
        <v>14</v>
      </c>
      <c r="G81" s="1747">
        <f>19800-8200+90+1-0.99982</f>
        <v>11690.000179999999</v>
      </c>
      <c r="H81" s="1291">
        <v>10674.44932</v>
      </c>
      <c r="I81" s="1292">
        <v>0</v>
      </c>
      <c r="J81" s="1293">
        <v>1015.5508599999999</v>
      </c>
      <c r="K81" s="1294">
        <v>0</v>
      </c>
      <c r="L81" s="1295">
        <f t="shared" si="7"/>
        <v>1015.5508600000003</v>
      </c>
      <c r="M81" s="1264">
        <v>1016.5506800000003</v>
      </c>
      <c r="N81" s="242">
        <f>0-0.99982</f>
        <v>-0.99982000000000004</v>
      </c>
      <c r="O81" s="1816">
        <f t="shared" si="3"/>
        <v>1015.5508600000003</v>
      </c>
      <c r="P81" s="1296">
        <v>0</v>
      </c>
      <c r="Q81" s="1296">
        <v>0</v>
      </c>
      <c r="R81" s="1294">
        <v>0</v>
      </c>
      <c r="S81" s="2126">
        <v>0</v>
      </c>
      <c r="T81" s="1355">
        <v>0</v>
      </c>
      <c r="U81" s="1294">
        <v>0</v>
      </c>
      <c r="V81" s="1356">
        <v>0</v>
      </c>
      <c r="W81" s="1356">
        <v>0</v>
      </c>
      <c r="X81" s="2126">
        <v>0</v>
      </c>
      <c r="Y81" s="1295">
        <v>0</v>
      </c>
      <c r="Z81" s="2127" t="s">
        <v>112</v>
      </c>
      <c r="AA81" s="1803" t="s">
        <v>83</v>
      </c>
      <c r="AB81" s="2128" t="s">
        <v>448</v>
      </c>
      <c r="AC81" s="2128" t="s">
        <v>80</v>
      </c>
      <c r="AD81" s="2128" t="s">
        <v>89</v>
      </c>
      <c r="AE81" s="1905" t="s">
        <v>185</v>
      </c>
      <c r="AF81" s="1905"/>
    </row>
    <row r="82" spans="1:32" ht="26.4" outlineLevel="1" x14ac:dyDescent="0.25">
      <c r="A82" s="14" t="s">
        <v>618</v>
      </c>
      <c r="B82" s="1685" t="s">
        <v>1199</v>
      </c>
      <c r="C82" s="1721" t="s">
        <v>584</v>
      </c>
      <c r="D82" s="1742" t="s">
        <v>1008</v>
      </c>
      <c r="E82" s="1748" t="s">
        <v>14</v>
      </c>
      <c r="F82" s="1743" t="s">
        <v>14</v>
      </c>
      <c r="G82" s="1689">
        <f>9000-3649+130-6-0.1375</f>
        <v>5474.8625000000002</v>
      </c>
      <c r="H82" s="1290">
        <v>4780.7789699999994</v>
      </c>
      <c r="I82" s="1241">
        <v>694.08353</v>
      </c>
      <c r="J82" s="1242">
        <v>0</v>
      </c>
      <c r="K82" s="1243">
        <v>694.08353</v>
      </c>
      <c r="L82" s="1274">
        <f t="shared" si="7"/>
        <v>0</v>
      </c>
      <c r="M82" s="1245">
        <v>694.08353</v>
      </c>
      <c r="N82" s="181">
        <v>0</v>
      </c>
      <c r="O82" s="2047">
        <f t="shared" si="3"/>
        <v>694.08353</v>
      </c>
      <c r="P82" s="1245">
        <v>0</v>
      </c>
      <c r="Q82" s="1245">
        <v>0</v>
      </c>
      <c r="R82" s="1243">
        <v>0</v>
      </c>
      <c r="S82" s="2048">
        <v>0</v>
      </c>
      <c r="T82" s="1374">
        <v>0</v>
      </c>
      <c r="U82" s="1243">
        <v>0</v>
      </c>
      <c r="V82" s="1375">
        <v>0</v>
      </c>
      <c r="W82" s="1375">
        <v>0</v>
      </c>
      <c r="X82" s="2048">
        <v>0</v>
      </c>
      <c r="Y82" s="1274">
        <v>0</v>
      </c>
      <c r="Z82" s="2091" t="s">
        <v>72</v>
      </c>
      <c r="AA82" s="1687" t="s">
        <v>83</v>
      </c>
      <c r="AB82" s="2052" t="s">
        <v>1074</v>
      </c>
      <c r="AC82" s="2052" t="s">
        <v>80</v>
      </c>
      <c r="AD82" s="2052" t="s">
        <v>89</v>
      </c>
      <c r="AE82" s="1688" t="s">
        <v>171</v>
      </c>
      <c r="AF82" s="1688"/>
    </row>
    <row r="83" spans="1:32" ht="26.4" outlineLevel="1" x14ac:dyDescent="0.25">
      <c r="A83" s="14" t="s">
        <v>619</v>
      </c>
      <c r="B83" s="1685" t="s">
        <v>969</v>
      </c>
      <c r="C83" s="1721" t="s">
        <v>585</v>
      </c>
      <c r="D83" s="1742" t="s">
        <v>1008</v>
      </c>
      <c r="E83" s="1748" t="s">
        <v>14</v>
      </c>
      <c r="F83" s="1743" t="s">
        <v>14</v>
      </c>
      <c r="G83" s="1689">
        <f>18000-8500-84.75263-7-0.73214</f>
        <v>9407.5152299999991</v>
      </c>
      <c r="H83" s="1290">
        <v>9215.2473699999991</v>
      </c>
      <c r="I83" s="1241">
        <v>192.26786000000001</v>
      </c>
      <c r="J83" s="1242">
        <v>0</v>
      </c>
      <c r="K83" s="1243">
        <v>192.26786000000001</v>
      </c>
      <c r="L83" s="1274">
        <f t="shared" si="7"/>
        <v>0</v>
      </c>
      <c r="M83" s="1245">
        <v>192.26786000000001</v>
      </c>
      <c r="N83" s="181">
        <v>0</v>
      </c>
      <c r="O83" s="2047">
        <f t="shared" si="3"/>
        <v>192.26786000000001</v>
      </c>
      <c r="P83" s="1245"/>
      <c r="Q83" s="1245">
        <v>0</v>
      </c>
      <c r="R83" s="1243">
        <v>0</v>
      </c>
      <c r="S83" s="2048">
        <v>0</v>
      </c>
      <c r="T83" s="1374">
        <v>0</v>
      </c>
      <c r="U83" s="1243">
        <v>0</v>
      </c>
      <c r="V83" s="1375">
        <v>0</v>
      </c>
      <c r="W83" s="1375">
        <v>0</v>
      </c>
      <c r="X83" s="2048">
        <v>0</v>
      </c>
      <c r="Y83" s="1274">
        <v>0</v>
      </c>
      <c r="Z83" s="2091" t="s">
        <v>72</v>
      </c>
      <c r="AA83" s="1687" t="s">
        <v>83</v>
      </c>
      <c r="AB83" s="2052" t="s">
        <v>1074</v>
      </c>
      <c r="AC83" s="2052" t="s">
        <v>80</v>
      </c>
      <c r="AD83" s="2052" t="s">
        <v>89</v>
      </c>
      <c r="AE83" s="1688" t="s">
        <v>187</v>
      </c>
      <c r="AF83" s="1688"/>
    </row>
    <row r="84" spans="1:32" ht="26.4" outlineLevel="1" x14ac:dyDescent="0.25">
      <c r="A84" s="457" t="s">
        <v>620</v>
      </c>
      <c r="B84" s="458" t="s">
        <v>1195</v>
      </c>
      <c r="C84" s="1096" t="s">
        <v>586</v>
      </c>
      <c r="D84" s="40" t="s">
        <v>1008</v>
      </c>
      <c r="E84" s="52" t="s">
        <v>14</v>
      </c>
      <c r="F84" s="951" t="s">
        <v>14</v>
      </c>
      <c r="G84" s="47">
        <f>25000-12256</f>
        <v>12744</v>
      </c>
      <c r="H84" s="144">
        <v>4744.1605099999997</v>
      </c>
      <c r="I84" s="958">
        <v>642.99825999999996</v>
      </c>
      <c r="J84" s="959">
        <v>0</v>
      </c>
      <c r="K84" s="463">
        <v>642.99825999999996</v>
      </c>
      <c r="L84" s="654">
        <f t="shared" si="7"/>
        <v>-1.4779288903810084E-12</v>
      </c>
      <c r="M84" s="460">
        <v>5999.8394899999985</v>
      </c>
      <c r="N84" s="462">
        <f>-6000+643+0.15877</f>
        <v>-5356.84123</v>
      </c>
      <c r="O84" s="462">
        <f t="shared" si="3"/>
        <v>642.99825999999848</v>
      </c>
      <c r="P84" s="460">
        <f>2000+6000-643-0.15877</f>
        <v>7356.84123</v>
      </c>
      <c r="Q84" s="460">
        <v>0</v>
      </c>
      <c r="R84" s="463">
        <v>0</v>
      </c>
      <c r="S84" s="820">
        <v>0</v>
      </c>
      <c r="T84" s="796">
        <v>0</v>
      </c>
      <c r="U84" s="463">
        <v>0</v>
      </c>
      <c r="V84" s="464">
        <v>0</v>
      </c>
      <c r="W84" s="464">
        <v>0</v>
      </c>
      <c r="X84" s="820">
        <v>0</v>
      </c>
      <c r="Y84" s="797">
        <v>0</v>
      </c>
      <c r="Z84" s="321" t="s">
        <v>1885</v>
      </c>
      <c r="AA84" s="41" t="s">
        <v>10</v>
      </c>
      <c r="AB84" s="114" t="s">
        <v>1390</v>
      </c>
      <c r="AC84" s="49" t="s">
        <v>80</v>
      </c>
      <c r="AD84" s="49" t="s">
        <v>89</v>
      </c>
      <c r="AE84" s="957" t="s">
        <v>167</v>
      </c>
      <c r="AF84" s="957"/>
    </row>
    <row r="85" spans="1:32" ht="26.4" outlineLevel="1" x14ac:dyDescent="0.25">
      <c r="A85" s="222" t="s">
        <v>621</v>
      </c>
      <c r="B85" s="1627" t="s">
        <v>1201</v>
      </c>
      <c r="C85" s="1720" t="s">
        <v>587</v>
      </c>
      <c r="D85" s="1642" t="s">
        <v>1008</v>
      </c>
      <c r="E85" s="1643" t="s">
        <v>14</v>
      </c>
      <c r="F85" s="1731" t="s">
        <v>14</v>
      </c>
      <c r="G85" s="1683">
        <f>20000-1500</f>
        <v>18500</v>
      </c>
      <c r="H85" s="1193">
        <v>3481.27504</v>
      </c>
      <c r="I85" s="1187">
        <v>5079.5589299999992</v>
      </c>
      <c r="J85" s="1194">
        <v>9485.7481599999992</v>
      </c>
      <c r="K85" s="1239">
        <v>5079.5589299999992</v>
      </c>
      <c r="L85" s="1195">
        <f t="shared" si="7"/>
        <v>9939.1660300000003</v>
      </c>
      <c r="M85" s="1191">
        <v>15018.72496</v>
      </c>
      <c r="N85" s="231">
        <v>0</v>
      </c>
      <c r="O85" s="1615">
        <f t="shared" si="3"/>
        <v>15018.72496</v>
      </c>
      <c r="P85" s="1191">
        <v>0</v>
      </c>
      <c r="Q85" s="1191">
        <v>0</v>
      </c>
      <c r="R85" s="1239">
        <v>0</v>
      </c>
      <c r="S85" s="2003">
        <v>0</v>
      </c>
      <c r="T85" s="1340">
        <v>0</v>
      </c>
      <c r="U85" s="1239">
        <v>0</v>
      </c>
      <c r="V85" s="1189">
        <v>0</v>
      </c>
      <c r="W85" s="1189">
        <v>0</v>
      </c>
      <c r="X85" s="2003">
        <v>0</v>
      </c>
      <c r="Y85" s="1190">
        <v>0</v>
      </c>
      <c r="Z85" s="2093" t="s">
        <v>72</v>
      </c>
      <c r="AA85" s="1629" t="s">
        <v>151</v>
      </c>
      <c r="AB85" s="1986" t="s">
        <v>382</v>
      </c>
      <c r="AC85" s="1986" t="s">
        <v>80</v>
      </c>
      <c r="AD85" s="1986" t="s">
        <v>89</v>
      </c>
      <c r="AE85" s="1631" t="s">
        <v>167</v>
      </c>
      <c r="AF85" s="1631"/>
    </row>
    <row r="86" spans="1:32" ht="26.4" outlineLevel="1" x14ac:dyDescent="0.25">
      <c r="A86" s="1099" t="s">
        <v>622</v>
      </c>
      <c r="B86" s="1100" t="s">
        <v>1140</v>
      </c>
      <c r="C86" s="1101" t="s">
        <v>588</v>
      </c>
      <c r="D86" s="411" t="s">
        <v>1008</v>
      </c>
      <c r="E86" s="216" t="s">
        <v>14</v>
      </c>
      <c r="F86" s="1102" t="s">
        <v>14</v>
      </c>
      <c r="G86" s="1103">
        <f>21000+875</f>
        <v>21875</v>
      </c>
      <c r="H86" s="1104">
        <v>14054.68021</v>
      </c>
      <c r="I86" s="1105">
        <v>4983.7918399999999</v>
      </c>
      <c r="J86" s="1106">
        <v>0</v>
      </c>
      <c r="K86" s="1042">
        <v>4983.7918399999999</v>
      </c>
      <c r="L86" s="1107">
        <f t="shared" si="7"/>
        <v>2836.5279499999997</v>
      </c>
      <c r="M86" s="1051">
        <v>5500.3197899999996</v>
      </c>
      <c r="N86" s="536">
        <v>2320</v>
      </c>
      <c r="O86" s="536">
        <f t="shared" si="3"/>
        <v>7820.3197899999996</v>
      </c>
      <c r="P86" s="1051">
        <v>0</v>
      </c>
      <c r="Q86" s="1051">
        <v>0</v>
      </c>
      <c r="R86" s="1042">
        <v>0</v>
      </c>
      <c r="S86" s="1044">
        <v>0</v>
      </c>
      <c r="T86" s="1108">
        <v>0</v>
      </c>
      <c r="U86" s="1042">
        <v>0</v>
      </c>
      <c r="V86" s="1043">
        <v>0</v>
      </c>
      <c r="W86" s="1043">
        <v>0</v>
      </c>
      <c r="X86" s="1044">
        <v>0</v>
      </c>
      <c r="Y86" s="1109">
        <v>0</v>
      </c>
      <c r="Z86" s="293" t="s">
        <v>1936</v>
      </c>
      <c r="AA86" s="42" t="s">
        <v>151</v>
      </c>
      <c r="AB86" s="121" t="s">
        <v>382</v>
      </c>
      <c r="AC86" s="121" t="s">
        <v>80</v>
      </c>
      <c r="AD86" s="121" t="s">
        <v>89</v>
      </c>
      <c r="AE86" s="1110" t="s">
        <v>177</v>
      </c>
      <c r="AF86" s="1110"/>
    </row>
    <row r="87" spans="1:32" ht="26.4" outlineLevel="1" x14ac:dyDescent="0.25">
      <c r="A87" s="457" t="s">
        <v>623</v>
      </c>
      <c r="B87" s="458" t="s">
        <v>1197</v>
      </c>
      <c r="C87" s="1096" t="s">
        <v>1287</v>
      </c>
      <c r="D87" s="40" t="s">
        <v>1008</v>
      </c>
      <c r="E87" s="52" t="s">
        <v>14</v>
      </c>
      <c r="F87" s="951" t="s">
        <v>14</v>
      </c>
      <c r="G87" s="47">
        <f>23000+4330-13592</f>
        <v>13738</v>
      </c>
      <c r="H87" s="144">
        <v>92.927999999999997</v>
      </c>
      <c r="I87" s="958">
        <v>3365.7856099999999</v>
      </c>
      <c r="J87" s="959">
        <v>6237.0517099999997</v>
      </c>
      <c r="K87" s="463">
        <v>3365.7856099999999</v>
      </c>
      <c r="L87" s="654">
        <f t="shared" si="7"/>
        <v>10279.286390000001</v>
      </c>
      <c r="M87" s="460">
        <v>9000.0720000000001</v>
      </c>
      <c r="N87" s="462">
        <v>4645</v>
      </c>
      <c r="O87" s="462">
        <f t="shared" si="3"/>
        <v>13645.072</v>
      </c>
      <c r="P87" s="460">
        <v>0</v>
      </c>
      <c r="Q87" s="460">
        <v>0</v>
      </c>
      <c r="R87" s="463">
        <v>0</v>
      </c>
      <c r="S87" s="820">
        <v>0</v>
      </c>
      <c r="T87" s="796">
        <v>0</v>
      </c>
      <c r="U87" s="463">
        <v>0</v>
      </c>
      <c r="V87" s="464">
        <v>0</v>
      </c>
      <c r="W87" s="464">
        <v>0</v>
      </c>
      <c r="X87" s="820">
        <v>0</v>
      </c>
      <c r="Y87" s="797">
        <v>0</v>
      </c>
      <c r="Z87" s="292" t="s">
        <v>1886</v>
      </c>
      <c r="AA87" s="41" t="s">
        <v>10</v>
      </c>
      <c r="AB87" s="49" t="s">
        <v>382</v>
      </c>
      <c r="AC87" s="49" t="s">
        <v>80</v>
      </c>
      <c r="AD87" s="49" t="s">
        <v>89</v>
      </c>
      <c r="AE87" s="957" t="s">
        <v>560</v>
      </c>
      <c r="AF87" s="957"/>
    </row>
    <row r="88" spans="1:32" ht="26.4" outlineLevel="1" x14ac:dyDescent="0.25">
      <c r="A88" s="14" t="s">
        <v>624</v>
      </c>
      <c r="B88" s="1685" t="s">
        <v>1045</v>
      </c>
      <c r="C88" s="1721" t="s">
        <v>589</v>
      </c>
      <c r="D88" s="1742" t="s">
        <v>1008</v>
      </c>
      <c r="E88" s="1748" t="s">
        <v>14</v>
      </c>
      <c r="F88" s="1743" t="s">
        <v>14</v>
      </c>
      <c r="G88" s="1689">
        <f>25000-13163-141.18627+140.01569</f>
        <v>11835.82942</v>
      </c>
      <c r="H88" s="1290">
        <v>11695.81373</v>
      </c>
      <c r="I88" s="1241">
        <v>140.01569000000001</v>
      </c>
      <c r="J88" s="1242">
        <v>0</v>
      </c>
      <c r="K88" s="1243">
        <v>140.01569000000001</v>
      </c>
      <c r="L88" s="1244">
        <f t="shared" si="7"/>
        <v>0</v>
      </c>
      <c r="M88" s="1245">
        <v>140.01569000000001</v>
      </c>
      <c r="N88" s="181">
        <v>0</v>
      </c>
      <c r="O88" s="2047">
        <f t="shared" si="3"/>
        <v>140.01569000000001</v>
      </c>
      <c r="P88" s="1245">
        <v>0</v>
      </c>
      <c r="Q88" s="1245">
        <v>0</v>
      </c>
      <c r="R88" s="1243">
        <v>0</v>
      </c>
      <c r="S88" s="2048">
        <v>0</v>
      </c>
      <c r="T88" s="1374">
        <v>0</v>
      </c>
      <c r="U88" s="1243">
        <v>0</v>
      </c>
      <c r="V88" s="1375">
        <v>0</v>
      </c>
      <c r="W88" s="1375">
        <v>0</v>
      </c>
      <c r="X88" s="2048">
        <v>0</v>
      </c>
      <c r="Y88" s="1274">
        <v>0</v>
      </c>
      <c r="Z88" s="2091" t="s">
        <v>72</v>
      </c>
      <c r="AA88" s="1687" t="s">
        <v>83</v>
      </c>
      <c r="AB88" s="2125" t="s">
        <v>677</v>
      </c>
      <c r="AC88" s="2052" t="s">
        <v>80</v>
      </c>
      <c r="AD88" s="2052" t="s">
        <v>89</v>
      </c>
      <c r="AE88" s="1688" t="s">
        <v>166</v>
      </c>
      <c r="AF88" s="1688"/>
    </row>
    <row r="89" spans="1:32" ht="26.4" outlineLevel="1" x14ac:dyDescent="0.25">
      <c r="A89" s="683" t="s">
        <v>625</v>
      </c>
      <c r="B89" s="1749" t="s">
        <v>1183</v>
      </c>
      <c r="C89" s="1750" t="s">
        <v>1288</v>
      </c>
      <c r="D89" s="1734" t="s">
        <v>1008</v>
      </c>
      <c r="E89" s="1739" t="s">
        <v>14</v>
      </c>
      <c r="F89" s="1740" t="s">
        <v>14</v>
      </c>
      <c r="G89" s="1751">
        <f>10000-4471+957+200+210</f>
        <v>6896</v>
      </c>
      <c r="H89" s="1297">
        <v>85.849500000000006</v>
      </c>
      <c r="I89" s="1298">
        <v>0</v>
      </c>
      <c r="J89" s="1299">
        <v>0</v>
      </c>
      <c r="K89" s="1300">
        <v>0</v>
      </c>
      <c r="L89" s="1301">
        <f t="shared" si="7"/>
        <v>6810.1504999999997</v>
      </c>
      <c r="M89" s="1302">
        <v>6600.1504999999997</v>
      </c>
      <c r="N89" s="1111">
        <v>210</v>
      </c>
      <c r="O89" s="2114">
        <f t="shared" si="3"/>
        <v>6810.1504999999997</v>
      </c>
      <c r="P89" s="1302">
        <v>0</v>
      </c>
      <c r="Q89" s="1302">
        <v>0</v>
      </c>
      <c r="R89" s="1300">
        <v>0</v>
      </c>
      <c r="S89" s="2129">
        <v>0</v>
      </c>
      <c r="T89" s="2130">
        <v>0</v>
      </c>
      <c r="U89" s="1300">
        <v>0</v>
      </c>
      <c r="V89" s="1556">
        <v>0</v>
      </c>
      <c r="W89" s="1556">
        <v>0</v>
      </c>
      <c r="X89" s="2129">
        <v>0</v>
      </c>
      <c r="Y89" s="2131">
        <v>0</v>
      </c>
      <c r="Z89" s="2118" t="s">
        <v>1937</v>
      </c>
      <c r="AA89" s="1734" t="s">
        <v>151</v>
      </c>
      <c r="AB89" s="2119" t="s">
        <v>382</v>
      </c>
      <c r="AC89" s="2119" t="s">
        <v>80</v>
      </c>
      <c r="AD89" s="2119" t="s">
        <v>89</v>
      </c>
      <c r="AE89" s="2132" t="s">
        <v>166</v>
      </c>
      <c r="AF89" s="2132"/>
    </row>
    <row r="90" spans="1:32" ht="31.8" outlineLevel="1" thickBot="1" x14ac:dyDescent="0.3">
      <c r="A90" s="19" t="s">
        <v>626</v>
      </c>
      <c r="B90" s="1752" t="s">
        <v>1477</v>
      </c>
      <c r="C90" s="1753" t="s">
        <v>590</v>
      </c>
      <c r="D90" s="1754" t="s">
        <v>1008</v>
      </c>
      <c r="E90" s="1755" t="s">
        <v>14</v>
      </c>
      <c r="F90" s="1756" t="s">
        <v>14</v>
      </c>
      <c r="G90" s="1757">
        <f>19000+16.6-0.0109</f>
        <v>19016.589099999997</v>
      </c>
      <c r="H90" s="1303">
        <v>0</v>
      </c>
      <c r="I90" s="1304">
        <v>16.589099999999998</v>
      </c>
      <c r="J90" s="1305">
        <v>0</v>
      </c>
      <c r="K90" s="1306">
        <v>16.589099999999998</v>
      </c>
      <c r="L90" s="1307">
        <f t="shared" si="7"/>
        <v>0</v>
      </c>
      <c r="M90" s="1308">
        <v>16.589100000000002</v>
      </c>
      <c r="N90" s="179">
        <v>0</v>
      </c>
      <c r="O90" s="1818">
        <f t="shared" si="3"/>
        <v>16.589100000000002</v>
      </c>
      <c r="P90" s="1308">
        <v>0</v>
      </c>
      <c r="Q90" s="1308">
        <v>0</v>
      </c>
      <c r="R90" s="1306">
        <v>0</v>
      </c>
      <c r="S90" s="2133">
        <v>19000</v>
      </c>
      <c r="T90" s="1378">
        <v>0</v>
      </c>
      <c r="U90" s="1306">
        <v>0</v>
      </c>
      <c r="V90" s="1379">
        <v>0</v>
      </c>
      <c r="W90" s="1379">
        <v>0</v>
      </c>
      <c r="X90" s="2133">
        <v>0</v>
      </c>
      <c r="Y90" s="2134">
        <v>0</v>
      </c>
      <c r="Z90" s="2135" t="s">
        <v>72</v>
      </c>
      <c r="AA90" s="1755" t="s">
        <v>83</v>
      </c>
      <c r="AB90" s="2136" t="s">
        <v>1074</v>
      </c>
      <c r="AC90" s="2136" t="s">
        <v>80</v>
      </c>
      <c r="AD90" s="2136" t="s">
        <v>89</v>
      </c>
      <c r="AE90" s="1845" t="s">
        <v>241</v>
      </c>
      <c r="AF90" s="1845"/>
    </row>
    <row r="91" spans="1:32" ht="26.4" outlineLevel="1" x14ac:dyDescent="0.25">
      <c r="A91" s="225" t="s">
        <v>934</v>
      </c>
      <c r="B91" s="1640" t="s">
        <v>1181</v>
      </c>
      <c r="C91" s="1730" t="s">
        <v>737</v>
      </c>
      <c r="D91" s="1642" t="s">
        <v>1015</v>
      </c>
      <c r="E91" s="1643" t="s">
        <v>14</v>
      </c>
      <c r="F91" s="1731" t="s">
        <v>14</v>
      </c>
      <c r="G91" s="1499">
        <f>77522+3153-3520</f>
        <v>77155</v>
      </c>
      <c r="H91" s="1192">
        <v>35155.387969999996</v>
      </c>
      <c r="I91" s="1182">
        <v>8583.4565000000002</v>
      </c>
      <c r="J91" s="1188">
        <v>23653.164929999999</v>
      </c>
      <c r="K91" s="1237">
        <v>8583.4565000000002</v>
      </c>
      <c r="L91" s="1185">
        <f t="shared" si="7"/>
        <v>33416.155530000004</v>
      </c>
      <c r="M91" s="1169">
        <v>41999.612030000004</v>
      </c>
      <c r="N91" s="229">
        <v>0</v>
      </c>
      <c r="O91" s="1617">
        <f t="shared" ref="O91:O154" si="8">M91+N91</f>
        <v>41999.612030000004</v>
      </c>
      <c r="P91" s="1169">
        <v>0</v>
      </c>
      <c r="Q91" s="1169">
        <v>0</v>
      </c>
      <c r="R91" s="1237">
        <v>0</v>
      </c>
      <c r="S91" s="1999">
        <v>0</v>
      </c>
      <c r="T91" s="1360">
        <v>0</v>
      </c>
      <c r="U91" s="1237">
        <v>0</v>
      </c>
      <c r="V91" s="1184">
        <v>0</v>
      </c>
      <c r="W91" s="1184">
        <v>0</v>
      </c>
      <c r="X91" s="1999">
        <v>0</v>
      </c>
      <c r="Y91" s="1238">
        <v>0</v>
      </c>
      <c r="Z91" s="2089" t="s">
        <v>72</v>
      </c>
      <c r="AA91" s="1642" t="s">
        <v>151</v>
      </c>
      <c r="AB91" s="2002" t="s">
        <v>382</v>
      </c>
      <c r="AC91" s="2002" t="s">
        <v>80</v>
      </c>
      <c r="AD91" s="2002" t="s">
        <v>89</v>
      </c>
      <c r="AE91" s="1644" t="s">
        <v>175</v>
      </c>
      <c r="AF91" s="1644"/>
    </row>
    <row r="92" spans="1:32" ht="31.2" outlineLevel="1" x14ac:dyDescent="0.25">
      <c r="A92" s="709" t="s">
        <v>935</v>
      </c>
      <c r="B92" s="1732" t="s">
        <v>1142</v>
      </c>
      <c r="C92" s="1733" t="s">
        <v>738</v>
      </c>
      <c r="D92" s="1734" t="s">
        <v>1015</v>
      </c>
      <c r="E92" s="1739" t="s">
        <v>14</v>
      </c>
      <c r="F92" s="1740" t="s">
        <v>14</v>
      </c>
      <c r="G92" s="1737">
        <f>35090-3020+10821+7000</f>
        <v>49891</v>
      </c>
      <c r="H92" s="1283">
        <v>4321.4927600000001</v>
      </c>
      <c r="I92" s="1284">
        <v>7980.5668700000006</v>
      </c>
      <c r="J92" s="1285">
        <v>9245.6517500000009</v>
      </c>
      <c r="K92" s="1286">
        <v>7980.5668700000006</v>
      </c>
      <c r="L92" s="1289">
        <f t="shared" si="7"/>
        <v>17018.940369999997</v>
      </c>
      <c r="M92" s="1302">
        <v>17999.507239999999</v>
      </c>
      <c r="N92" s="710">
        <v>7000</v>
      </c>
      <c r="O92" s="2122">
        <f t="shared" si="8"/>
        <v>24999.507239999999</v>
      </c>
      <c r="P92" s="1288">
        <v>0</v>
      </c>
      <c r="Q92" s="1288">
        <v>0</v>
      </c>
      <c r="R92" s="1286">
        <v>0</v>
      </c>
      <c r="S92" s="2115">
        <v>20570</v>
      </c>
      <c r="T92" s="2123">
        <v>0</v>
      </c>
      <c r="U92" s="1286">
        <v>0</v>
      </c>
      <c r="V92" s="2117">
        <v>0</v>
      </c>
      <c r="W92" s="2117">
        <v>0</v>
      </c>
      <c r="X92" s="2115">
        <v>0</v>
      </c>
      <c r="Y92" s="1287">
        <v>0</v>
      </c>
      <c r="Z92" s="2118" t="s">
        <v>1938</v>
      </c>
      <c r="AA92" s="1964" t="s">
        <v>151</v>
      </c>
      <c r="AB92" s="2120" t="s">
        <v>382</v>
      </c>
      <c r="AC92" s="2120" t="s">
        <v>80</v>
      </c>
      <c r="AD92" s="2120" t="s">
        <v>89</v>
      </c>
      <c r="AE92" s="2121" t="s">
        <v>241</v>
      </c>
      <c r="AF92" s="2121"/>
    </row>
    <row r="93" spans="1:32" ht="26.4" outlineLevel="1" x14ac:dyDescent="0.25">
      <c r="A93" s="222" t="s">
        <v>936</v>
      </c>
      <c r="B93" s="1627" t="s">
        <v>1352</v>
      </c>
      <c r="C93" s="1720" t="s">
        <v>739</v>
      </c>
      <c r="D93" s="1642" t="s">
        <v>847</v>
      </c>
      <c r="E93" s="1643" t="s">
        <v>14</v>
      </c>
      <c r="F93" s="1731" t="s">
        <v>14</v>
      </c>
      <c r="G93" s="1683">
        <f>10941-4341</f>
        <v>6600</v>
      </c>
      <c r="H93" s="1193">
        <v>0</v>
      </c>
      <c r="I93" s="1187">
        <v>6392.5080800000005</v>
      </c>
      <c r="J93" s="1194">
        <v>22.021999999999998</v>
      </c>
      <c r="K93" s="1239">
        <v>6392.5080800000005</v>
      </c>
      <c r="L93" s="1195">
        <f t="shared" si="7"/>
        <v>207.49191999999948</v>
      </c>
      <c r="M93" s="1191">
        <v>6600</v>
      </c>
      <c r="N93" s="231">
        <v>0</v>
      </c>
      <c r="O93" s="1615">
        <f t="shared" si="8"/>
        <v>6600</v>
      </c>
      <c r="P93" s="1191">
        <v>0</v>
      </c>
      <c r="Q93" s="1191">
        <v>0</v>
      </c>
      <c r="R93" s="1239">
        <v>0</v>
      </c>
      <c r="S93" s="2003"/>
      <c r="T93" s="1340">
        <v>0</v>
      </c>
      <c r="U93" s="1239">
        <v>0</v>
      </c>
      <c r="V93" s="1189">
        <v>0</v>
      </c>
      <c r="W93" s="1189">
        <v>0</v>
      </c>
      <c r="X93" s="2003">
        <v>0</v>
      </c>
      <c r="Y93" s="1190">
        <v>0</v>
      </c>
      <c r="Z93" s="2089" t="s">
        <v>72</v>
      </c>
      <c r="AA93" s="1629" t="s">
        <v>151</v>
      </c>
      <c r="AB93" s="1986" t="s">
        <v>382</v>
      </c>
      <c r="AC93" s="1986" t="s">
        <v>80</v>
      </c>
      <c r="AD93" s="1986" t="s">
        <v>89</v>
      </c>
      <c r="AE93" s="1631" t="s">
        <v>167</v>
      </c>
      <c r="AF93" s="1631"/>
    </row>
    <row r="94" spans="1:32" ht="26.4" outlineLevel="1" x14ac:dyDescent="0.25">
      <c r="A94" s="222" t="s">
        <v>937</v>
      </c>
      <c r="B94" s="1627" t="s">
        <v>1203</v>
      </c>
      <c r="C94" s="1720" t="s">
        <v>740</v>
      </c>
      <c r="D94" s="1642" t="s">
        <v>1015</v>
      </c>
      <c r="E94" s="1643" t="s">
        <v>14</v>
      </c>
      <c r="F94" s="1731" t="s">
        <v>14</v>
      </c>
      <c r="G94" s="1683">
        <v>21039</v>
      </c>
      <c r="H94" s="1193">
        <v>4036.7199700000001</v>
      </c>
      <c r="I94" s="1187">
        <v>97.525999999999996</v>
      </c>
      <c r="J94" s="1194">
        <v>41.987000000000002</v>
      </c>
      <c r="K94" s="1239">
        <v>97.525999999999996</v>
      </c>
      <c r="L94" s="1195">
        <f t="shared" si="7"/>
        <v>13948.754030000002</v>
      </c>
      <c r="M94" s="1191">
        <v>14046.280030000002</v>
      </c>
      <c r="N94" s="231">
        <v>0</v>
      </c>
      <c r="O94" s="1615">
        <f t="shared" si="8"/>
        <v>14046.280030000002</v>
      </c>
      <c r="P94" s="1191">
        <f>2956</f>
        <v>2956</v>
      </c>
      <c r="Q94" s="1191">
        <v>0</v>
      </c>
      <c r="R94" s="1239">
        <v>0</v>
      </c>
      <c r="S94" s="2003"/>
      <c r="T94" s="1340">
        <v>0</v>
      </c>
      <c r="U94" s="1239">
        <v>0</v>
      </c>
      <c r="V94" s="1189">
        <v>0</v>
      </c>
      <c r="W94" s="1189">
        <v>0</v>
      </c>
      <c r="X94" s="2003">
        <v>0</v>
      </c>
      <c r="Y94" s="1190">
        <v>0</v>
      </c>
      <c r="Z94" s="2093" t="s">
        <v>72</v>
      </c>
      <c r="AA94" s="1629" t="s">
        <v>151</v>
      </c>
      <c r="AB94" s="1986" t="s">
        <v>1311</v>
      </c>
      <c r="AC94" s="1986" t="s">
        <v>80</v>
      </c>
      <c r="AD94" s="1986" t="s">
        <v>89</v>
      </c>
      <c r="AE94" s="1631" t="s">
        <v>186</v>
      </c>
      <c r="AF94" s="1631"/>
    </row>
    <row r="95" spans="1:32" ht="26.4" outlineLevel="1" x14ac:dyDescent="0.25">
      <c r="A95" s="222" t="s">
        <v>938</v>
      </c>
      <c r="B95" s="1627" t="s">
        <v>75</v>
      </c>
      <c r="C95" s="1720" t="s">
        <v>1075</v>
      </c>
      <c r="D95" s="1642" t="s">
        <v>1015</v>
      </c>
      <c r="E95" s="1643" t="s">
        <v>14</v>
      </c>
      <c r="F95" s="1731" t="s">
        <v>14</v>
      </c>
      <c r="G95" s="1683">
        <v>25000</v>
      </c>
      <c r="H95" s="1193">
        <v>0</v>
      </c>
      <c r="I95" s="1187">
        <v>0</v>
      </c>
      <c r="J95" s="1194">
        <v>0</v>
      </c>
      <c r="K95" s="1239">
        <v>0</v>
      </c>
      <c r="L95" s="1195">
        <f t="shared" si="7"/>
        <v>0</v>
      </c>
      <c r="M95" s="1169">
        <v>0</v>
      </c>
      <c r="N95" s="231">
        <v>0</v>
      </c>
      <c r="O95" s="1615">
        <f t="shared" si="8"/>
        <v>0</v>
      </c>
      <c r="P95" s="1191">
        <v>25000</v>
      </c>
      <c r="Q95" s="1191">
        <v>0</v>
      </c>
      <c r="R95" s="1239">
        <v>0</v>
      </c>
      <c r="S95" s="2003">
        <v>0</v>
      </c>
      <c r="T95" s="1340">
        <v>0</v>
      </c>
      <c r="U95" s="1239">
        <v>0</v>
      </c>
      <c r="V95" s="1189">
        <v>0</v>
      </c>
      <c r="W95" s="1189">
        <v>0</v>
      </c>
      <c r="X95" s="2003">
        <v>0</v>
      </c>
      <c r="Y95" s="1190">
        <v>0</v>
      </c>
      <c r="Z95" s="2093" t="s">
        <v>72</v>
      </c>
      <c r="AA95" s="1629" t="s">
        <v>6</v>
      </c>
      <c r="AB95" s="2002" t="s">
        <v>1237</v>
      </c>
      <c r="AC95" s="1986" t="s">
        <v>79</v>
      </c>
      <c r="AD95" s="1986" t="s">
        <v>88</v>
      </c>
      <c r="AE95" s="1631" t="s">
        <v>167</v>
      </c>
      <c r="AF95" s="1631"/>
    </row>
    <row r="96" spans="1:32" s="952" customFormat="1" ht="27" outlineLevel="1" thickBot="1" x14ac:dyDescent="0.3">
      <c r="A96" s="856" t="s">
        <v>939</v>
      </c>
      <c r="B96" s="1711" t="s">
        <v>910</v>
      </c>
      <c r="C96" s="1712" t="s">
        <v>741</v>
      </c>
      <c r="D96" s="1713" t="s">
        <v>1015</v>
      </c>
      <c r="E96" s="1714" t="s">
        <v>14</v>
      </c>
      <c r="F96" s="1758" t="s">
        <v>14</v>
      </c>
      <c r="G96" s="1716">
        <f>10000+7000+307+693+2319</f>
        <v>20319</v>
      </c>
      <c r="H96" s="1309">
        <v>1374.89275</v>
      </c>
      <c r="I96" s="1266">
        <v>5520.9468200000001</v>
      </c>
      <c r="J96" s="1267">
        <v>13038.30085</v>
      </c>
      <c r="K96" s="1268">
        <v>5520.9468200000001</v>
      </c>
      <c r="L96" s="1310">
        <f t="shared" si="7"/>
        <v>13423.16043</v>
      </c>
      <c r="M96" s="1311">
        <v>16625.107250000001</v>
      </c>
      <c r="N96" s="857">
        <v>2319</v>
      </c>
      <c r="O96" s="2079">
        <f t="shared" si="8"/>
        <v>18944.107250000001</v>
      </c>
      <c r="P96" s="1311">
        <v>0</v>
      </c>
      <c r="Q96" s="1311">
        <v>0</v>
      </c>
      <c r="R96" s="1268">
        <v>0</v>
      </c>
      <c r="S96" s="2080">
        <v>0</v>
      </c>
      <c r="T96" s="2137">
        <v>0</v>
      </c>
      <c r="U96" s="1268">
        <v>0</v>
      </c>
      <c r="V96" s="2082">
        <v>0</v>
      </c>
      <c r="W96" s="2082">
        <v>0</v>
      </c>
      <c r="X96" s="2080">
        <v>0</v>
      </c>
      <c r="Y96" s="1269">
        <v>0</v>
      </c>
      <c r="Z96" s="1760" t="s">
        <v>1939</v>
      </c>
      <c r="AA96" s="1713" t="s">
        <v>151</v>
      </c>
      <c r="AB96" s="2138" t="s">
        <v>382</v>
      </c>
      <c r="AC96" s="2085" t="s">
        <v>80</v>
      </c>
      <c r="AD96" s="2085" t="s">
        <v>89</v>
      </c>
      <c r="AE96" s="1715" t="s">
        <v>174</v>
      </c>
      <c r="AF96" s="1715"/>
    </row>
    <row r="97" spans="1:32" ht="31.2" outlineLevel="1" x14ac:dyDescent="0.25">
      <c r="A97" s="222" t="s">
        <v>940</v>
      </c>
      <c r="B97" s="1627" t="s">
        <v>1143</v>
      </c>
      <c r="C97" s="1720" t="s">
        <v>750</v>
      </c>
      <c r="D97" s="1642" t="s">
        <v>1007</v>
      </c>
      <c r="E97" s="1643" t="s">
        <v>14</v>
      </c>
      <c r="F97" s="1731" t="s">
        <v>14</v>
      </c>
      <c r="G97" s="1683">
        <f>4500+9-969</f>
        <v>3540</v>
      </c>
      <c r="H97" s="1193">
        <v>3091.4064900000003</v>
      </c>
      <c r="I97" s="1187">
        <v>0</v>
      </c>
      <c r="J97" s="1194">
        <v>385.76551000000001</v>
      </c>
      <c r="K97" s="1239">
        <v>0</v>
      </c>
      <c r="L97" s="1195">
        <f t="shared" si="7"/>
        <v>448.5935099999997</v>
      </c>
      <c r="M97" s="1191">
        <v>448.5935099999997</v>
      </c>
      <c r="N97" s="231">
        <v>0</v>
      </c>
      <c r="O97" s="1615">
        <f t="shared" si="8"/>
        <v>448.5935099999997</v>
      </c>
      <c r="P97" s="1191">
        <v>0</v>
      </c>
      <c r="Q97" s="1191">
        <v>0</v>
      </c>
      <c r="R97" s="1239">
        <v>0</v>
      </c>
      <c r="S97" s="2003">
        <v>0</v>
      </c>
      <c r="T97" s="1340">
        <v>0</v>
      </c>
      <c r="U97" s="1239">
        <v>0</v>
      </c>
      <c r="V97" s="1189">
        <v>0</v>
      </c>
      <c r="W97" s="1189">
        <v>0</v>
      </c>
      <c r="X97" s="2003">
        <v>0</v>
      </c>
      <c r="Y97" s="1190">
        <v>0</v>
      </c>
      <c r="Z97" s="2093" t="s">
        <v>72</v>
      </c>
      <c r="AA97" s="1629" t="s">
        <v>151</v>
      </c>
      <c r="AB97" s="1986" t="s">
        <v>382</v>
      </c>
      <c r="AC97" s="1986" t="s">
        <v>80</v>
      </c>
      <c r="AD97" s="1986" t="s">
        <v>89</v>
      </c>
      <c r="AE97" s="1631" t="s">
        <v>183</v>
      </c>
      <c r="AF97" s="1631"/>
    </row>
    <row r="98" spans="1:32" ht="31.2" outlineLevel="1" x14ac:dyDescent="0.25">
      <c r="A98" s="222" t="s">
        <v>941</v>
      </c>
      <c r="B98" s="1627" t="s">
        <v>1185</v>
      </c>
      <c r="C98" s="1720" t="s">
        <v>751</v>
      </c>
      <c r="D98" s="1642" t="s">
        <v>1007</v>
      </c>
      <c r="E98" s="1643" t="s">
        <v>14</v>
      </c>
      <c r="F98" s="1731" t="s">
        <v>14</v>
      </c>
      <c r="G98" s="1683">
        <f>3500+477+23+132+83+126</f>
        <v>4341</v>
      </c>
      <c r="H98" s="1193">
        <v>3805.1022499999999</v>
      </c>
      <c r="I98" s="1187">
        <v>0</v>
      </c>
      <c r="J98" s="1194">
        <v>197.23</v>
      </c>
      <c r="K98" s="1239">
        <v>0</v>
      </c>
      <c r="L98" s="1195">
        <f t="shared" si="7"/>
        <v>535.89775000000009</v>
      </c>
      <c r="M98" s="1191">
        <v>535.89775000000009</v>
      </c>
      <c r="N98" s="231">
        <v>0</v>
      </c>
      <c r="O98" s="1615">
        <f t="shared" si="8"/>
        <v>535.89775000000009</v>
      </c>
      <c r="P98" s="1191">
        <v>0</v>
      </c>
      <c r="Q98" s="1191">
        <v>0</v>
      </c>
      <c r="R98" s="1239">
        <v>0</v>
      </c>
      <c r="S98" s="2003">
        <v>0</v>
      </c>
      <c r="T98" s="1340">
        <v>0</v>
      </c>
      <c r="U98" s="1239">
        <v>0</v>
      </c>
      <c r="V98" s="1189">
        <v>0</v>
      </c>
      <c r="W98" s="1189">
        <v>0</v>
      </c>
      <c r="X98" s="2003">
        <v>0</v>
      </c>
      <c r="Y98" s="1190">
        <v>0</v>
      </c>
      <c r="Z98" s="2093" t="s">
        <v>72</v>
      </c>
      <c r="AA98" s="1629" t="s">
        <v>151</v>
      </c>
      <c r="AB98" s="1986" t="s">
        <v>382</v>
      </c>
      <c r="AC98" s="1986" t="s">
        <v>80</v>
      </c>
      <c r="AD98" s="1986" t="s">
        <v>89</v>
      </c>
      <c r="AE98" s="1631" t="s">
        <v>187</v>
      </c>
      <c r="AF98" s="1631"/>
    </row>
    <row r="99" spans="1:32" ht="27" outlineLevel="1" thickBot="1" x14ac:dyDescent="0.3">
      <c r="A99" s="856" t="s">
        <v>942</v>
      </c>
      <c r="B99" s="1711" t="s">
        <v>1044</v>
      </c>
      <c r="C99" s="1712" t="s">
        <v>752</v>
      </c>
      <c r="D99" s="1713" t="s">
        <v>1007</v>
      </c>
      <c r="E99" s="1714" t="s">
        <v>14</v>
      </c>
      <c r="F99" s="1758" t="s">
        <v>14</v>
      </c>
      <c r="G99" s="1716">
        <f>30000+10500+16660-10472+5163+2500</f>
        <v>54351</v>
      </c>
      <c r="H99" s="1309">
        <v>35377.188299999994</v>
      </c>
      <c r="I99" s="1266">
        <v>9773.8354600000002</v>
      </c>
      <c r="J99" s="1267">
        <v>0</v>
      </c>
      <c r="K99" s="1268">
        <v>9773.8354600000002</v>
      </c>
      <c r="L99" s="1310">
        <f t="shared" si="7"/>
        <v>9199.9762400000054</v>
      </c>
      <c r="M99" s="1311">
        <v>16473.811700000006</v>
      </c>
      <c r="N99" s="857">
        <v>2500</v>
      </c>
      <c r="O99" s="2079">
        <f t="shared" si="8"/>
        <v>18973.811700000006</v>
      </c>
      <c r="P99" s="1311">
        <v>0</v>
      </c>
      <c r="Q99" s="1311">
        <v>0</v>
      </c>
      <c r="R99" s="1268">
        <v>0</v>
      </c>
      <c r="S99" s="2080">
        <v>0</v>
      </c>
      <c r="T99" s="2137">
        <v>0</v>
      </c>
      <c r="U99" s="1268">
        <v>0</v>
      </c>
      <c r="V99" s="2082">
        <v>0</v>
      </c>
      <c r="W99" s="2082">
        <v>0</v>
      </c>
      <c r="X99" s="2080">
        <v>0</v>
      </c>
      <c r="Y99" s="1269">
        <v>0</v>
      </c>
      <c r="Z99" s="1760" t="s">
        <v>1940</v>
      </c>
      <c r="AA99" s="1713" t="s">
        <v>10</v>
      </c>
      <c r="AB99" s="2138" t="s">
        <v>1050</v>
      </c>
      <c r="AC99" s="2085" t="s">
        <v>80</v>
      </c>
      <c r="AD99" s="2085" t="s">
        <v>89</v>
      </c>
      <c r="AE99" s="1715" t="s">
        <v>169</v>
      </c>
      <c r="AF99" s="1715"/>
    </row>
    <row r="100" spans="1:32" ht="31.2" outlineLevel="1" x14ac:dyDescent="0.25">
      <c r="A100" s="683" t="s">
        <v>933</v>
      </c>
      <c r="B100" s="1749" t="s">
        <v>1204</v>
      </c>
      <c r="C100" s="1750" t="s">
        <v>869</v>
      </c>
      <c r="D100" s="1759" t="s">
        <v>1016</v>
      </c>
      <c r="E100" s="1739" t="s">
        <v>14</v>
      </c>
      <c r="F100" s="1734" t="s">
        <v>14</v>
      </c>
      <c r="G100" s="1751">
        <f>26165-6165-6200+200+2443</f>
        <v>16443</v>
      </c>
      <c r="H100" s="1297">
        <v>100.01458</v>
      </c>
      <c r="I100" s="1298">
        <v>0</v>
      </c>
      <c r="J100" s="1299">
        <v>312.24672999999996</v>
      </c>
      <c r="K100" s="1300">
        <v>0</v>
      </c>
      <c r="L100" s="1301">
        <f t="shared" si="7"/>
        <v>16342.985420000001</v>
      </c>
      <c r="M100" s="1302">
        <v>13899.985420000001</v>
      </c>
      <c r="N100" s="1111">
        <v>2443</v>
      </c>
      <c r="O100" s="2114">
        <f t="shared" si="8"/>
        <v>16342.985420000001</v>
      </c>
      <c r="P100" s="1302">
        <v>0</v>
      </c>
      <c r="Q100" s="1302">
        <v>0</v>
      </c>
      <c r="R100" s="1300">
        <v>0</v>
      </c>
      <c r="S100" s="2129">
        <v>0</v>
      </c>
      <c r="T100" s="2130">
        <v>0</v>
      </c>
      <c r="U100" s="1300">
        <v>0</v>
      </c>
      <c r="V100" s="1556">
        <v>0</v>
      </c>
      <c r="W100" s="1556">
        <v>0</v>
      </c>
      <c r="X100" s="2129">
        <v>0</v>
      </c>
      <c r="Y100" s="2131">
        <v>0</v>
      </c>
      <c r="Z100" s="1759" t="s">
        <v>1941</v>
      </c>
      <c r="AA100" s="1734" t="s">
        <v>151</v>
      </c>
      <c r="AB100" s="2119" t="s">
        <v>382</v>
      </c>
      <c r="AC100" s="2119" t="s">
        <v>80</v>
      </c>
      <c r="AD100" s="2119" t="s">
        <v>89</v>
      </c>
      <c r="AE100" s="2132" t="s">
        <v>180</v>
      </c>
      <c r="AF100" s="2132"/>
    </row>
    <row r="101" spans="1:32" ht="31.2" outlineLevel="1" x14ac:dyDescent="0.25">
      <c r="A101" s="457" t="s">
        <v>932</v>
      </c>
      <c r="B101" s="458" t="s">
        <v>1184</v>
      </c>
      <c r="C101" s="1096" t="s">
        <v>870</v>
      </c>
      <c r="D101" s="292" t="s">
        <v>1016</v>
      </c>
      <c r="E101" s="52" t="s">
        <v>14</v>
      </c>
      <c r="F101" s="40" t="s">
        <v>14</v>
      </c>
      <c r="G101" s="47">
        <f>2000+2000</f>
        <v>4000</v>
      </c>
      <c r="H101" s="144">
        <v>957.09131000000002</v>
      </c>
      <c r="I101" s="958">
        <v>0</v>
      </c>
      <c r="J101" s="959">
        <v>2355.4720699999998</v>
      </c>
      <c r="K101" s="463">
        <v>0</v>
      </c>
      <c r="L101" s="647">
        <f t="shared" ref="L101:L132" si="9">O101-K101</f>
        <v>2355.9086900000002</v>
      </c>
      <c r="M101" s="460">
        <v>3042.9086900000002</v>
      </c>
      <c r="N101" s="462">
        <v>-687</v>
      </c>
      <c r="O101" s="462">
        <f t="shared" si="8"/>
        <v>2355.9086900000002</v>
      </c>
      <c r="P101" s="460">
        <f>700-13</f>
        <v>687</v>
      </c>
      <c r="Q101" s="460">
        <v>0</v>
      </c>
      <c r="R101" s="463">
        <v>0</v>
      </c>
      <c r="S101" s="820">
        <v>0</v>
      </c>
      <c r="T101" s="796">
        <v>0</v>
      </c>
      <c r="U101" s="463">
        <v>0</v>
      </c>
      <c r="V101" s="464">
        <v>0</v>
      </c>
      <c r="W101" s="464">
        <v>0</v>
      </c>
      <c r="X101" s="820">
        <v>0</v>
      </c>
      <c r="Y101" s="797">
        <v>0</v>
      </c>
      <c r="Z101" s="292" t="s">
        <v>1942</v>
      </c>
      <c r="AA101" s="41" t="s">
        <v>151</v>
      </c>
      <c r="AB101" s="49" t="s">
        <v>382</v>
      </c>
      <c r="AC101" s="49" t="s">
        <v>80</v>
      </c>
      <c r="AD101" s="49" t="s">
        <v>90</v>
      </c>
      <c r="AE101" s="957" t="s">
        <v>167</v>
      </c>
      <c r="AF101" s="957"/>
    </row>
    <row r="102" spans="1:32" ht="27" outlineLevel="1" thickBot="1" x14ac:dyDescent="0.3">
      <c r="A102" s="856" t="s">
        <v>931</v>
      </c>
      <c r="B102" s="1711" t="s">
        <v>1483</v>
      </c>
      <c r="C102" s="1712" t="s">
        <v>874</v>
      </c>
      <c r="D102" s="1760" t="s">
        <v>1016</v>
      </c>
      <c r="E102" s="1714" t="s">
        <v>14</v>
      </c>
      <c r="F102" s="1713" t="s">
        <v>14</v>
      </c>
      <c r="G102" s="1716">
        <f>49900+10000-11900+1000</f>
        <v>49000</v>
      </c>
      <c r="H102" s="1309">
        <v>0</v>
      </c>
      <c r="I102" s="1266">
        <v>1765.8377</v>
      </c>
      <c r="J102" s="1267">
        <v>14569.430919999999</v>
      </c>
      <c r="K102" s="1268">
        <v>1765.8377</v>
      </c>
      <c r="L102" s="1310">
        <f t="shared" si="9"/>
        <v>47234.162299999996</v>
      </c>
      <c r="M102" s="1311">
        <v>38000</v>
      </c>
      <c r="N102" s="857">
        <v>11000</v>
      </c>
      <c r="O102" s="2079">
        <f t="shared" si="8"/>
        <v>49000</v>
      </c>
      <c r="P102" s="1311">
        <v>0</v>
      </c>
      <c r="Q102" s="1311">
        <v>0</v>
      </c>
      <c r="R102" s="1268">
        <v>0</v>
      </c>
      <c r="S102" s="2080">
        <v>0</v>
      </c>
      <c r="T102" s="2137">
        <v>0</v>
      </c>
      <c r="U102" s="1268">
        <v>0</v>
      </c>
      <c r="V102" s="2082">
        <v>0</v>
      </c>
      <c r="W102" s="2082">
        <v>0</v>
      </c>
      <c r="X102" s="2080">
        <v>0</v>
      </c>
      <c r="Y102" s="1269">
        <v>0</v>
      </c>
      <c r="Z102" s="1760" t="s">
        <v>1943</v>
      </c>
      <c r="AA102" s="1713" t="s">
        <v>151</v>
      </c>
      <c r="AB102" s="2085" t="s">
        <v>382</v>
      </c>
      <c r="AC102" s="2085" t="s">
        <v>80</v>
      </c>
      <c r="AD102" s="2085" t="s">
        <v>89</v>
      </c>
      <c r="AE102" s="1715" t="s">
        <v>169</v>
      </c>
      <c r="AF102" s="1715"/>
    </row>
    <row r="103" spans="1:32" ht="27" outlineLevel="1" thickBot="1" x14ac:dyDescent="0.3">
      <c r="A103" s="195" t="s">
        <v>943</v>
      </c>
      <c r="B103" s="1761" t="s">
        <v>1198</v>
      </c>
      <c r="C103" s="1762" t="s">
        <v>944</v>
      </c>
      <c r="D103" s="1763" t="s">
        <v>1056</v>
      </c>
      <c r="E103" s="1667" t="s">
        <v>14</v>
      </c>
      <c r="F103" s="78" t="s">
        <v>14</v>
      </c>
      <c r="G103" s="1634">
        <f>3977-958</f>
        <v>3019</v>
      </c>
      <c r="H103" s="1312">
        <v>2019.4783600000001</v>
      </c>
      <c r="I103" s="1220">
        <v>770.79913999999997</v>
      </c>
      <c r="J103" s="1221">
        <v>139.755</v>
      </c>
      <c r="K103" s="1246">
        <v>770.79913999999997</v>
      </c>
      <c r="L103" s="1223">
        <f t="shared" si="9"/>
        <v>228.72249999999997</v>
      </c>
      <c r="M103" s="152">
        <v>999.52163999999993</v>
      </c>
      <c r="N103" s="178">
        <v>0</v>
      </c>
      <c r="O103" s="1613">
        <f t="shared" si="8"/>
        <v>999.52163999999993</v>
      </c>
      <c r="P103" s="152">
        <v>0</v>
      </c>
      <c r="Q103" s="152">
        <v>0</v>
      </c>
      <c r="R103" s="1246">
        <v>0</v>
      </c>
      <c r="S103" s="2020">
        <v>0</v>
      </c>
      <c r="T103" s="1344">
        <v>0</v>
      </c>
      <c r="U103" s="1246">
        <v>0</v>
      </c>
      <c r="V103" s="1222">
        <v>0</v>
      </c>
      <c r="W103" s="1222">
        <v>0</v>
      </c>
      <c r="X103" s="2020">
        <v>0</v>
      </c>
      <c r="Y103" s="1614">
        <v>0</v>
      </c>
      <c r="Z103" s="1763" t="s">
        <v>72</v>
      </c>
      <c r="AA103" s="78" t="s">
        <v>151</v>
      </c>
      <c r="AB103" s="20" t="s">
        <v>382</v>
      </c>
      <c r="AC103" s="20" t="s">
        <v>80</v>
      </c>
      <c r="AD103" s="20" t="s">
        <v>89</v>
      </c>
      <c r="AE103" s="203" t="s">
        <v>166</v>
      </c>
      <c r="AF103" s="203"/>
    </row>
    <row r="104" spans="1:32" ht="26.4" outlineLevel="1" x14ac:dyDescent="0.25">
      <c r="A104" s="446" t="s">
        <v>1079</v>
      </c>
      <c r="B104" s="1112" t="s">
        <v>75</v>
      </c>
      <c r="C104" s="1113" t="s">
        <v>1080</v>
      </c>
      <c r="D104" s="40" t="s">
        <v>1219</v>
      </c>
      <c r="E104" s="52" t="s">
        <v>14</v>
      </c>
      <c r="F104" s="40" t="s">
        <v>14</v>
      </c>
      <c r="G104" s="44">
        <f>130000+69200</f>
        <v>199200</v>
      </c>
      <c r="H104" s="131">
        <v>0</v>
      </c>
      <c r="I104" s="1056">
        <v>0</v>
      </c>
      <c r="J104" s="1070">
        <v>0</v>
      </c>
      <c r="K104" s="453">
        <v>0</v>
      </c>
      <c r="L104" s="647">
        <f t="shared" si="9"/>
        <v>0</v>
      </c>
      <c r="M104" s="135">
        <v>1000</v>
      </c>
      <c r="N104" s="622">
        <v>-1000</v>
      </c>
      <c r="O104" s="622">
        <f t="shared" si="8"/>
        <v>0</v>
      </c>
      <c r="P104" s="135">
        <v>99000</v>
      </c>
      <c r="Q104" s="135">
        <v>100200</v>
      </c>
      <c r="R104" s="453">
        <v>0</v>
      </c>
      <c r="S104" s="818">
        <v>0</v>
      </c>
      <c r="T104" s="786">
        <v>0</v>
      </c>
      <c r="U104" s="453">
        <v>0</v>
      </c>
      <c r="V104" s="454">
        <v>0</v>
      </c>
      <c r="W104" s="454">
        <v>0</v>
      </c>
      <c r="X104" s="818">
        <v>0</v>
      </c>
      <c r="Y104" s="392">
        <v>0</v>
      </c>
      <c r="Z104" s="291" t="s">
        <v>1944</v>
      </c>
      <c r="AA104" s="40" t="s">
        <v>6</v>
      </c>
      <c r="AB104" s="113" t="s">
        <v>1237</v>
      </c>
      <c r="AC104" s="40" t="s">
        <v>79</v>
      </c>
      <c r="AD104" s="40">
        <v>2</v>
      </c>
      <c r="AE104" s="40" t="s">
        <v>560</v>
      </c>
      <c r="AF104" s="948"/>
    </row>
    <row r="105" spans="1:32" ht="26.4" outlineLevel="1" x14ac:dyDescent="0.25">
      <c r="A105" s="446" t="s">
        <v>1081</v>
      </c>
      <c r="B105" s="1112" t="s">
        <v>75</v>
      </c>
      <c r="C105" s="1113" t="s">
        <v>1082</v>
      </c>
      <c r="D105" s="41" t="s">
        <v>1219</v>
      </c>
      <c r="E105" s="52" t="s">
        <v>14</v>
      </c>
      <c r="F105" s="40" t="s">
        <v>14</v>
      </c>
      <c r="G105" s="44">
        <v>130000</v>
      </c>
      <c r="H105" s="131">
        <v>0</v>
      </c>
      <c r="I105" s="1056">
        <v>0</v>
      </c>
      <c r="J105" s="1070">
        <v>0</v>
      </c>
      <c r="K105" s="453">
        <v>0</v>
      </c>
      <c r="L105" s="647">
        <f t="shared" si="9"/>
        <v>0</v>
      </c>
      <c r="M105" s="135">
        <v>1000</v>
      </c>
      <c r="N105" s="622">
        <v>-1000</v>
      </c>
      <c r="O105" s="622">
        <f t="shared" si="8"/>
        <v>0</v>
      </c>
      <c r="P105" s="135">
        <v>90000</v>
      </c>
      <c r="Q105" s="135">
        <v>40000</v>
      </c>
      <c r="R105" s="453">
        <v>0</v>
      </c>
      <c r="S105" s="818">
        <v>0</v>
      </c>
      <c r="T105" s="786">
        <v>0</v>
      </c>
      <c r="U105" s="453">
        <v>0</v>
      </c>
      <c r="V105" s="454">
        <v>0</v>
      </c>
      <c r="W105" s="454">
        <v>0</v>
      </c>
      <c r="X105" s="818">
        <v>0</v>
      </c>
      <c r="Y105" s="392">
        <v>0</v>
      </c>
      <c r="Z105" s="291" t="s">
        <v>1944</v>
      </c>
      <c r="AA105" s="40" t="s">
        <v>6</v>
      </c>
      <c r="AB105" s="456" t="s">
        <v>1390</v>
      </c>
      <c r="AC105" s="41" t="s">
        <v>79</v>
      </c>
      <c r="AD105" s="41">
        <v>2</v>
      </c>
      <c r="AE105" s="41" t="s">
        <v>230</v>
      </c>
      <c r="AF105" s="957"/>
    </row>
    <row r="106" spans="1:32" ht="26.4" outlineLevel="1" x14ac:dyDescent="0.25">
      <c r="A106" s="446" t="s">
        <v>1083</v>
      </c>
      <c r="B106" s="1112" t="s">
        <v>75</v>
      </c>
      <c r="C106" s="1113" t="s">
        <v>1084</v>
      </c>
      <c r="D106" s="41" t="s">
        <v>1219</v>
      </c>
      <c r="E106" s="52" t="s">
        <v>14</v>
      </c>
      <c r="F106" s="40" t="s">
        <v>14</v>
      </c>
      <c r="G106" s="44">
        <f>8000+1500</f>
        <v>9500</v>
      </c>
      <c r="H106" s="131">
        <v>0</v>
      </c>
      <c r="I106" s="1056">
        <v>0</v>
      </c>
      <c r="J106" s="1070">
        <v>0</v>
      </c>
      <c r="K106" s="453">
        <v>0</v>
      </c>
      <c r="L106" s="647">
        <f t="shared" si="9"/>
        <v>0</v>
      </c>
      <c r="M106" s="135">
        <v>9500</v>
      </c>
      <c r="N106" s="622">
        <v>-9500</v>
      </c>
      <c r="O106" s="622">
        <f t="shared" si="8"/>
        <v>0</v>
      </c>
      <c r="P106" s="135">
        <v>9500</v>
      </c>
      <c r="Q106" s="135">
        <v>0</v>
      </c>
      <c r="R106" s="453">
        <v>0</v>
      </c>
      <c r="S106" s="818">
        <v>0</v>
      </c>
      <c r="T106" s="786">
        <v>0</v>
      </c>
      <c r="U106" s="453">
        <v>0</v>
      </c>
      <c r="V106" s="454">
        <v>0</v>
      </c>
      <c r="W106" s="454">
        <v>0</v>
      </c>
      <c r="X106" s="818">
        <v>0</v>
      </c>
      <c r="Y106" s="392">
        <v>0</v>
      </c>
      <c r="Z106" s="292" t="s">
        <v>1887</v>
      </c>
      <c r="AA106" s="40" t="s">
        <v>10</v>
      </c>
      <c r="AB106" s="456" t="s">
        <v>1390</v>
      </c>
      <c r="AC106" s="41" t="s">
        <v>80</v>
      </c>
      <c r="AD106" s="41">
        <v>1</v>
      </c>
      <c r="AE106" s="41" t="s">
        <v>175</v>
      </c>
      <c r="AF106" s="957"/>
    </row>
    <row r="107" spans="1:32" ht="26.4" outlineLevel="1" x14ac:dyDescent="0.25">
      <c r="A107" s="446" t="s">
        <v>1110</v>
      </c>
      <c r="B107" s="1112" t="s">
        <v>75</v>
      </c>
      <c r="C107" s="1113" t="s">
        <v>1085</v>
      </c>
      <c r="D107" s="41" t="s">
        <v>1219</v>
      </c>
      <c r="E107" s="52" t="s">
        <v>14</v>
      </c>
      <c r="F107" s="40" t="s">
        <v>14</v>
      </c>
      <c r="G107" s="44">
        <v>20000</v>
      </c>
      <c r="H107" s="131">
        <v>0</v>
      </c>
      <c r="I107" s="1056">
        <v>0</v>
      </c>
      <c r="J107" s="1070">
        <v>0</v>
      </c>
      <c r="K107" s="453">
        <v>0</v>
      </c>
      <c r="L107" s="647">
        <f t="shared" si="9"/>
        <v>0</v>
      </c>
      <c r="M107" s="135">
        <v>1000</v>
      </c>
      <c r="N107" s="622">
        <v>-1000</v>
      </c>
      <c r="O107" s="622">
        <f t="shared" si="8"/>
        <v>0</v>
      </c>
      <c r="P107" s="135">
        <v>20000</v>
      </c>
      <c r="Q107" s="135">
        <v>0</v>
      </c>
      <c r="R107" s="453">
        <v>0</v>
      </c>
      <c r="S107" s="818">
        <v>0</v>
      </c>
      <c r="T107" s="786">
        <v>0</v>
      </c>
      <c r="U107" s="453">
        <v>0</v>
      </c>
      <c r="V107" s="454">
        <v>0</v>
      </c>
      <c r="W107" s="454">
        <v>0</v>
      </c>
      <c r="X107" s="818">
        <v>0</v>
      </c>
      <c r="Y107" s="392">
        <v>0</v>
      </c>
      <c r="Z107" s="292" t="s">
        <v>1888</v>
      </c>
      <c r="AA107" s="40" t="s">
        <v>6</v>
      </c>
      <c r="AB107" s="456" t="s">
        <v>1390</v>
      </c>
      <c r="AC107" s="41" t="s">
        <v>79</v>
      </c>
      <c r="AD107" s="41">
        <v>2</v>
      </c>
      <c r="AE107" s="41" t="s">
        <v>175</v>
      </c>
      <c r="AF107" s="957"/>
    </row>
    <row r="108" spans="1:32" ht="26.4" outlineLevel="1" x14ac:dyDescent="0.25">
      <c r="A108" s="446" t="s">
        <v>1111</v>
      </c>
      <c r="B108" s="1112" t="s">
        <v>75</v>
      </c>
      <c r="C108" s="1113" t="s">
        <v>1086</v>
      </c>
      <c r="D108" s="41" t="s">
        <v>1219</v>
      </c>
      <c r="E108" s="52" t="s">
        <v>14</v>
      </c>
      <c r="F108" s="40" t="s">
        <v>14</v>
      </c>
      <c r="G108" s="44">
        <v>18000</v>
      </c>
      <c r="H108" s="131">
        <v>0</v>
      </c>
      <c r="I108" s="1056">
        <v>0</v>
      </c>
      <c r="J108" s="1070">
        <v>0</v>
      </c>
      <c r="K108" s="453">
        <v>0</v>
      </c>
      <c r="L108" s="647">
        <f t="shared" si="9"/>
        <v>18000</v>
      </c>
      <c r="M108" s="135">
        <v>12000</v>
      </c>
      <c r="N108" s="622">
        <v>6000</v>
      </c>
      <c r="O108" s="622">
        <f t="shared" si="8"/>
        <v>18000</v>
      </c>
      <c r="P108" s="135">
        <v>0</v>
      </c>
      <c r="Q108" s="135">
        <v>0</v>
      </c>
      <c r="R108" s="453">
        <v>0</v>
      </c>
      <c r="S108" s="818">
        <v>0</v>
      </c>
      <c r="T108" s="786">
        <v>0</v>
      </c>
      <c r="U108" s="453">
        <v>0</v>
      </c>
      <c r="V108" s="454">
        <v>0</v>
      </c>
      <c r="W108" s="454">
        <v>0</v>
      </c>
      <c r="X108" s="818">
        <v>0</v>
      </c>
      <c r="Y108" s="392">
        <v>0</v>
      </c>
      <c r="Z108" s="292" t="s">
        <v>1889</v>
      </c>
      <c r="AA108" s="40" t="s">
        <v>10</v>
      </c>
      <c r="AB108" s="456" t="s">
        <v>382</v>
      </c>
      <c r="AC108" s="41" t="s">
        <v>80</v>
      </c>
      <c r="AD108" s="41">
        <v>1</v>
      </c>
      <c r="AE108" s="41" t="s">
        <v>172</v>
      </c>
      <c r="AF108" s="957"/>
    </row>
    <row r="109" spans="1:32" ht="31.2" outlineLevel="1" x14ac:dyDescent="0.25">
      <c r="A109" s="225" t="s">
        <v>1112</v>
      </c>
      <c r="B109" s="1764" t="s">
        <v>75</v>
      </c>
      <c r="C109" s="1765" t="s">
        <v>1087</v>
      </c>
      <c r="D109" s="1629" t="s">
        <v>1219</v>
      </c>
      <c r="E109" s="1643" t="s">
        <v>14</v>
      </c>
      <c r="F109" s="1642" t="s">
        <v>14</v>
      </c>
      <c r="G109" s="1499">
        <v>34000</v>
      </c>
      <c r="H109" s="1192">
        <v>0</v>
      </c>
      <c r="I109" s="1182">
        <v>0</v>
      </c>
      <c r="J109" s="1188">
        <v>0</v>
      </c>
      <c r="K109" s="1237">
        <v>0</v>
      </c>
      <c r="L109" s="1185">
        <f t="shared" si="9"/>
        <v>0</v>
      </c>
      <c r="M109" s="1169">
        <v>0</v>
      </c>
      <c r="N109" s="229">
        <v>0</v>
      </c>
      <c r="O109" s="1617">
        <f t="shared" si="8"/>
        <v>0</v>
      </c>
      <c r="P109" s="1169">
        <v>34000</v>
      </c>
      <c r="Q109" s="1169">
        <v>0</v>
      </c>
      <c r="R109" s="1237">
        <v>0</v>
      </c>
      <c r="S109" s="1999">
        <v>0</v>
      </c>
      <c r="T109" s="1360">
        <v>0</v>
      </c>
      <c r="U109" s="1237">
        <v>0</v>
      </c>
      <c r="V109" s="1184">
        <v>0</v>
      </c>
      <c r="W109" s="1184">
        <v>0</v>
      </c>
      <c r="X109" s="1999">
        <v>0</v>
      </c>
      <c r="Y109" s="1238">
        <v>0</v>
      </c>
      <c r="Z109" s="2093" t="s">
        <v>72</v>
      </c>
      <c r="AA109" s="1642" t="s">
        <v>6</v>
      </c>
      <c r="AB109" s="2043" t="s">
        <v>449</v>
      </c>
      <c r="AC109" s="1629" t="s">
        <v>79</v>
      </c>
      <c r="AD109" s="1629">
        <v>2</v>
      </c>
      <c r="AE109" s="1629" t="s">
        <v>173</v>
      </c>
      <c r="AF109" s="1631"/>
    </row>
    <row r="110" spans="1:32" ht="26.4" outlineLevel="1" x14ac:dyDescent="0.25">
      <c r="A110" s="225" t="s">
        <v>1113</v>
      </c>
      <c r="B110" s="1764" t="s">
        <v>75</v>
      </c>
      <c r="C110" s="1766" t="s">
        <v>1088</v>
      </c>
      <c r="D110" s="1629" t="s">
        <v>1219</v>
      </c>
      <c r="E110" s="1643" t="s">
        <v>14</v>
      </c>
      <c r="F110" s="1642" t="s">
        <v>14</v>
      </c>
      <c r="G110" s="1499">
        <v>20000</v>
      </c>
      <c r="H110" s="1192">
        <v>0</v>
      </c>
      <c r="I110" s="1182">
        <v>0</v>
      </c>
      <c r="J110" s="1188">
        <v>0</v>
      </c>
      <c r="K110" s="1237">
        <v>0</v>
      </c>
      <c r="L110" s="1185">
        <f t="shared" si="9"/>
        <v>0</v>
      </c>
      <c r="M110" s="1169">
        <v>0</v>
      </c>
      <c r="N110" s="229">
        <v>0</v>
      </c>
      <c r="O110" s="1617">
        <f t="shared" si="8"/>
        <v>0</v>
      </c>
      <c r="P110" s="1169">
        <v>20000</v>
      </c>
      <c r="Q110" s="1169">
        <v>0</v>
      </c>
      <c r="R110" s="1237">
        <v>0</v>
      </c>
      <c r="S110" s="1999">
        <v>0</v>
      </c>
      <c r="T110" s="1360">
        <v>0</v>
      </c>
      <c r="U110" s="1237">
        <v>0</v>
      </c>
      <c r="V110" s="1184">
        <v>0</v>
      </c>
      <c r="W110" s="1184">
        <v>0</v>
      </c>
      <c r="X110" s="1999">
        <v>0</v>
      </c>
      <c r="Y110" s="1238">
        <v>0</v>
      </c>
      <c r="Z110" s="2093" t="s">
        <v>72</v>
      </c>
      <c r="AA110" s="1642" t="s">
        <v>6</v>
      </c>
      <c r="AB110" s="2043" t="s">
        <v>449</v>
      </c>
      <c r="AC110" s="1629" t="s">
        <v>79</v>
      </c>
      <c r="AD110" s="1629">
        <v>2</v>
      </c>
      <c r="AE110" s="1629" t="s">
        <v>175</v>
      </c>
      <c r="AF110" s="1631"/>
    </row>
    <row r="111" spans="1:32" ht="26.4" outlineLevel="1" x14ac:dyDescent="0.25">
      <c r="A111" s="225" t="s">
        <v>1114</v>
      </c>
      <c r="B111" s="1764" t="s">
        <v>75</v>
      </c>
      <c r="C111" s="1766" t="s">
        <v>1089</v>
      </c>
      <c r="D111" s="1629" t="s">
        <v>1219</v>
      </c>
      <c r="E111" s="1643" t="s">
        <v>14</v>
      </c>
      <c r="F111" s="1642" t="s">
        <v>14</v>
      </c>
      <c r="G111" s="1499">
        <v>30000</v>
      </c>
      <c r="H111" s="1192">
        <v>0</v>
      </c>
      <c r="I111" s="1182">
        <v>0</v>
      </c>
      <c r="J111" s="1188">
        <v>0</v>
      </c>
      <c r="K111" s="1237">
        <v>0</v>
      </c>
      <c r="L111" s="1185">
        <f t="shared" si="9"/>
        <v>0</v>
      </c>
      <c r="M111" s="1169">
        <v>0</v>
      </c>
      <c r="N111" s="229">
        <v>0</v>
      </c>
      <c r="O111" s="1617">
        <f t="shared" si="8"/>
        <v>0</v>
      </c>
      <c r="P111" s="1169">
        <v>30000</v>
      </c>
      <c r="Q111" s="1169">
        <v>0</v>
      </c>
      <c r="R111" s="1237">
        <v>0</v>
      </c>
      <c r="S111" s="1999">
        <v>0</v>
      </c>
      <c r="T111" s="1360">
        <v>0</v>
      </c>
      <c r="U111" s="1237">
        <v>0</v>
      </c>
      <c r="V111" s="1184">
        <v>0</v>
      </c>
      <c r="W111" s="1184">
        <v>0</v>
      </c>
      <c r="X111" s="1999">
        <v>0</v>
      </c>
      <c r="Y111" s="1238">
        <v>0</v>
      </c>
      <c r="Z111" s="2093" t="s">
        <v>72</v>
      </c>
      <c r="AA111" s="1642" t="s">
        <v>6</v>
      </c>
      <c r="AB111" s="2043" t="s">
        <v>449</v>
      </c>
      <c r="AC111" s="1629" t="s">
        <v>79</v>
      </c>
      <c r="AD111" s="1629">
        <v>2</v>
      </c>
      <c r="AE111" s="1629" t="s">
        <v>169</v>
      </c>
      <c r="AF111" s="1631"/>
    </row>
    <row r="112" spans="1:32" ht="26.4" outlineLevel="1" x14ac:dyDescent="0.25">
      <c r="A112" s="225" t="s">
        <v>1115</v>
      </c>
      <c r="B112" s="1764" t="s">
        <v>75</v>
      </c>
      <c r="C112" s="1766" t="s">
        <v>1090</v>
      </c>
      <c r="D112" s="1629" t="s">
        <v>1219</v>
      </c>
      <c r="E112" s="1643" t="s">
        <v>14</v>
      </c>
      <c r="F112" s="1642" t="s">
        <v>14</v>
      </c>
      <c r="G112" s="1499">
        <v>38000</v>
      </c>
      <c r="H112" s="1192">
        <v>0</v>
      </c>
      <c r="I112" s="1182">
        <v>0</v>
      </c>
      <c r="J112" s="1188">
        <v>0</v>
      </c>
      <c r="K112" s="1237">
        <v>0</v>
      </c>
      <c r="L112" s="1185">
        <f t="shared" si="9"/>
        <v>0</v>
      </c>
      <c r="M112" s="1169">
        <v>0</v>
      </c>
      <c r="N112" s="229">
        <v>0</v>
      </c>
      <c r="O112" s="1617">
        <f t="shared" si="8"/>
        <v>0</v>
      </c>
      <c r="P112" s="1169">
        <v>38000</v>
      </c>
      <c r="Q112" s="1169">
        <v>0</v>
      </c>
      <c r="R112" s="1237">
        <v>0</v>
      </c>
      <c r="S112" s="1999">
        <v>0</v>
      </c>
      <c r="T112" s="1360">
        <v>0</v>
      </c>
      <c r="U112" s="1237">
        <v>0</v>
      </c>
      <c r="V112" s="1184">
        <v>0</v>
      </c>
      <c r="W112" s="1184">
        <v>0</v>
      </c>
      <c r="X112" s="1999">
        <v>0</v>
      </c>
      <c r="Y112" s="1238">
        <v>0</v>
      </c>
      <c r="Z112" s="2093" t="s">
        <v>72</v>
      </c>
      <c r="AA112" s="1642" t="s">
        <v>6</v>
      </c>
      <c r="AB112" s="2043" t="s">
        <v>1390</v>
      </c>
      <c r="AC112" s="1629" t="s">
        <v>79</v>
      </c>
      <c r="AD112" s="1629">
        <v>2</v>
      </c>
      <c r="AE112" s="1629" t="s">
        <v>179</v>
      </c>
      <c r="AF112" s="1631"/>
    </row>
    <row r="113" spans="1:32" ht="26.4" outlineLevel="1" x14ac:dyDescent="0.25">
      <c r="A113" s="446" t="s">
        <v>1116</v>
      </c>
      <c r="B113" s="1112" t="s">
        <v>75</v>
      </c>
      <c r="C113" s="1113" t="s">
        <v>1091</v>
      </c>
      <c r="D113" s="41" t="s">
        <v>1219</v>
      </c>
      <c r="E113" s="52" t="s">
        <v>14</v>
      </c>
      <c r="F113" s="40" t="s">
        <v>14</v>
      </c>
      <c r="G113" s="44">
        <v>45000</v>
      </c>
      <c r="H113" s="131">
        <v>0</v>
      </c>
      <c r="I113" s="1056">
        <v>0</v>
      </c>
      <c r="J113" s="1070">
        <v>0</v>
      </c>
      <c r="K113" s="453">
        <v>0</v>
      </c>
      <c r="L113" s="647">
        <f t="shared" si="9"/>
        <v>0</v>
      </c>
      <c r="M113" s="135">
        <v>5000</v>
      </c>
      <c r="N113" s="622">
        <v>-5000</v>
      </c>
      <c r="O113" s="622">
        <f t="shared" si="8"/>
        <v>0</v>
      </c>
      <c r="P113" s="135">
        <v>40000</v>
      </c>
      <c r="Q113" s="135">
        <v>5000</v>
      </c>
      <c r="R113" s="453">
        <v>0</v>
      </c>
      <c r="S113" s="818">
        <v>0</v>
      </c>
      <c r="T113" s="786">
        <v>0</v>
      </c>
      <c r="U113" s="453">
        <v>0</v>
      </c>
      <c r="V113" s="454">
        <v>0</v>
      </c>
      <c r="W113" s="454">
        <v>0</v>
      </c>
      <c r="X113" s="818">
        <v>0</v>
      </c>
      <c r="Y113" s="392">
        <v>0</v>
      </c>
      <c r="Z113" s="292" t="s">
        <v>1890</v>
      </c>
      <c r="AA113" s="40" t="s">
        <v>6</v>
      </c>
      <c r="AB113" s="456" t="s">
        <v>1390</v>
      </c>
      <c r="AC113" s="41" t="s">
        <v>79</v>
      </c>
      <c r="AD113" s="41">
        <v>1</v>
      </c>
      <c r="AE113" s="41" t="s">
        <v>179</v>
      </c>
      <c r="AF113" s="957"/>
    </row>
    <row r="114" spans="1:32" ht="26.4" outlineLevel="1" x14ac:dyDescent="0.25">
      <c r="A114" s="225" t="s">
        <v>1117</v>
      </c>
      <c r="B114" s="1764" t="s">
        <v>75</v>
      </c>
      <c r="C114" s="1766" t="s">
        <v>1092</v>
      </c>
      <c r="D114" s="1629" t="s">
        <v>1219</v>
      </c>
      <c r="E114" s="1643" t="s">
        <v>14</v>
      </c>
      <c r="F114" s="1642" t="s">
        <v>14</v>
      </c>
      <c r="G114" s="1499">
        <v>35000</v>
      </c>
      <c r="H114" s="1192">
        <v>0</v>
      </c>
      <c r="I114" s="1182">
        <v>0</v>
      </c>
      <c r="J114" s="1188">
        <v>0</v>
      </c>
      <c r="K114" s="1237">
        <v>0</v>
      </c>
      <c r="L114" s="1185">
        <f t="shared" si="9"/>
        <v>15000</v>
      </c>
      <c r="M114" s="1169">
        <v>15000</v>
      </c>
      <c r="N114" s="229">
        <v>0</v>
      </c>
      <c r="O114" s="1617">
        <f t="shared" si="8"/>
        <v>15000</v>
      </c>
      <c r="P114" s="1169">
        <v>20000</v>
      </c>
      <c r="Q114" s="1169">
        <v>0</v>
      </c>
      <c r="R114" s="1237">
        <v>0</v>
      </c>
      <c r="S114" s="1999">
        <v>0</v>
      </c>
      <c r="T114" s="1360">
        <v>0</v>
      </c>
      <c r="U114" s="1237">
        <v>0</v>
      </c>
      <c r="V114" s="1184">
        <v>0</v>
      </c>
      <c r="W114" s="1184">
        <v>0</v>
      </c>
      <c r="X114" s="1999">
        <v>0</v>
      </c>
      <c r="Y114" s="1238">
        <v>0</v>
      </c>
      <c r="Z114" s="2093" t="s">
        <v>72</v>
      </c>
      <c r="AA114" s="1642" t="s">
        <v>10</v>
      </c>
      <c r="AB114" s="2043" t="s">
        <v>1237</v>
      </c>
      <c r="AC114" s="1629" t="s">
        <v>80</v>
      </c>
      <c r="AD114" s="1629">
        <v>1</v>
      </c>
      <c r="AE114" s="1629" t="s">
        <v>172</v>
      </c>
      <c r="AF114" s="1631"/>
    </row>
    <row r="115" spans="1:32" ht="26.4" outlineLevel="1" x14ac:dyDescent="0.25">
      <c r="A115" s="446" t="s">
        <v>1118</v>
      </c>
      <c r="B115" s="1112" t="s">
        <v>1353</v>
      </c>
      <c r="C115" s="1113" t="s">
        <v>1093</v>
      </c>
      <c r="D115" s="41" t="s">
        <v>1219</v>
      </c>
      <c r="E115" s="52" t="s">
        <v>14</v>
      </c>
      <c r="F115" s="40" t="s">
        <v>14</v>
      </c>
      <c r="G115" s="44">
        <v>30000</v>
      </c>
      <c r="H115" s="131">
        <v>0</v>
      </c>
      <c r="I115" s="1056">
        <v>381.15</v>
      </c>
      <c r="J115" s="1070">
        <v>0</v>
      </c>
      <c r="K115" s="453">
        <v>381.15</v>
      </c>
      <c r="L115" s="647">
        <f t="shared" si="9"/>
        <v>0</v>
      </c>
      <c r="M115" s="135">
        <v>681.14999999999964</v>
      </c>
      <c r="N115" s="622">
        <v>-300</v>
      </c>
      <c r="O115" s="622">
        <f t="shared" si="8"/>
        <v>381.14999999999964</v>
      </c>
      <c r="P115" s="135">
        <f>30000-381.15-300+300</f>
        <v>29618.85</v>
      </c>
      <c r="Q115" s="135">
        <v>0</v>
      </c>
      <c r="R115" s="453">
        <v>0</v>
      </c>
      <c r="S115" s="818">
        <v>0</v>
      </c>
      <c r="T115" s="786">
        <v>0</v>
      </c>
      <c r="U115" s="453">
        <v>0</v>
      </c>
      <c r="V115" s="454">
        <v>0</v>
      </c>
      <c r="W115" s="454">
        <v>0</v>
      </c>
      <c r="X115" s="818">
        <v>0</v>
      </c>
      <c r="Y115" s="392">
        <v>0</v>
      </c>
      <c r="Z115" s="292" t="s">
        <v>1891</v>
      </c>
      <c r="AA115" s="40" t="s">
        <v>6</v>
      </c>
      <c r="AB115" s="456" t="s">
        <v>1316</v>
      </c>
      <c r="AC115" s="41" t="s">
        <v>79</v>
      </c>
      <c r="AD115" s="41">
        <v>1</v>
      </c>
      <c r="AE115" s="41" t="s">
        <v>173</v>
      </c>
      <c r="AF115" s="957"/>
    </row>
    <row r="116" spans="1:32" ht="26.4" outlineLevel="1" x14ac:dyDescent="0.25">
      <c r="A116" s="225" t="s">
        <v>1119</v>
      </c>
      <c r="B116" s="1764" t="s">
        <v>75</v>
      </c>
      <c r="C116" s="1766" t="s">
        <v>1094</v>
      </c>
      <c r="D116" s="1629" t="s">
        <v>1219</v>
      </c>
      <c r="E116" s="1643" t="s">
        <v>14</v>
      </c>
      <c r="F116" s="1642" t="s">
        <v>14</v>
      </c>
      <c r="G116" s="1499">
        <v>63000</v>
      </c>
      <c r="H116" s="1192">
        <v>0</v>
      </c>
      <c r="I116" s="1182">
        <v>0</v>
      </c>
      <c r="J116" s="1188">
        <v>0</v>
      </c>
      <c r="K116" s="1237">
        <v>0</v>
      </c>
      <c r="L116" s="1185">
        <f t="shared" si="9"/>
        <v>0</v>
      </c>
      <c r="M116" s="1169">
        <v>0</v>
      </c>
      <c r="N116" s="229">
        <v>0</v>
      </c>
      <c r="O116" s="1617">
        <f t="shared" si="8"/>
        <v>0</v>
      </c>
      <c r="P116" s="1169">
        <v>63000</v>
      </c>
      <c r="Q116" s="1169">
        <v>0</v>
      </c>
      <c r="R116" s="1237">
        <v>0</v>
      </c>
      <c r="S116" s="1999">
        <v>0</v>
      </c>
      <c r="T116" s="1360">
        <v>0</v>
      </c>
      <c r="U116" s="1237">
        <v>0</v>
      </c>
      <c r="V116" s="1184">
        <v>0</v>
      </c>
      <c r="W116" s="1184">
        <v>0</v>
      </c>
      <c r="X116" s="1999">
        <v>0</v>
      </c>
      <c r="Y116" s="1238">
        <v>0</v>
      </c>
      <c r="Z116" s="2093" t="s">
        <v>72</v>
      </c>
      <c r="AA116" s="1642" t="s">
        <v>6</v>
      </c>
      <c r="AB116" s="2043" t="s">
        <v>449</v>
      </c>
      <c r="AC116" s="1629" t="s">
        <v>79</v>
      </c>
      <c r="AD116" s="1629">
        <v>2</v>
      </c>
      <c r="AE116" s="1629" t="s">
        <v>169</v>
      </c>
      <c r="AF116" s="1631"/>
    </row>
    <row r="117" spans="1:32" ht="26.4" outlineLevel="1" x14ac:dyDescent="0.25">
      <c r="A117" s="225" t="s">
        <v>1120</v>
      </c>
      <c r="B117" s="1764" t="s">
        <v>1484</v>
      </c>
      <c r="C117" s="1766" t="s">
        <v>1095</v>
      </c>
      <c r="D117" s="1629" t="s">
        <v>1219</v>
      </c>
      <c r="E117" s="1643" t="s">
        <v>14</v>
      </c>
      <c r="F117" s="1642" t="s">
        <v>14</v>
      </c>
      <c r="G117" s="1499">
        <f>1700+17.023+0.023</f>
        <v>1717.0459999999998</v>
      </c>
      <c r="H117" s="1192">
        <v>0</v>
      </c>
      <c r="I117" s="1182">
        <v>1700</v>
      </c>
      <c r="J117" s="1188">
        <v>0</v>
      </c>
      <c r="K117" s="1237">
        <v>1700</v>
      </c>
      <c r="L117" s="1185">
        <f t="shared" si="9"/>
        <v>17.045999999999822</v>
      </c>
      <c r="M117" s="1169">
        <v>1717.0459999999998</v>
      </c>
      <c r="N117" s="229">
        <v>0</v>
      </c>
      <c r="O117" s="1617">
        <f t="shared" si="8"/>
        <v>1717.0459999999998</v>
      </c>
      <c r="P117" s="1169">
        <v>0</v>
      </c>
      <c r="Q117" s="1169">
        <v>0</v>
      </c>
      <c r="R117" s="1237">
        <v>0</v>
      </c>
      <c r="S117" s="1999">
        <v>0</v>
      </c>
      <c r="T117" s="1360">
        <v>0</v>
      </c>
      <c r="U117" s="1237">
        <v>0</v>
      </c>
      <c r="V117" s="1184">
        <v>0</v>
      </c>
      <c r="W117" s="1184">
        <v>0</v>
      </c>
      <c r="X117" s="1999">
        <v>0</v>
      </c>
      <c r="Y117" s="1238">
        <v>0</v>
      </c>
      <c r="Z117" s="2091" t="s">
        <v>1892</v>
      </c>
      <c r="AA117" s="1642" t="s">
        <v>10</v>
      </c>
      <c r="AB117" s="2043" t="s">
        <v>1073</v>
      </c>
      <c r="AC117" s="1986" t="s">
        <v>80</v>
      </c>
      <c r="AD117" s="1986" t="s">
        <v>89</v>
      </c>
      <c r="AE117" s="1631" t="s">
        <v>167</v>
      </c>
      <c r="AF117" s="1631"/>
    </row>
    <row r="118" spans="1:32" ht="26.4" outlineLevel="1" x14ac:dyDescent="0.25">
      <c r="A118" s="446" t="s">
        <v>1121</v>
      </c>
      <c r="B118" s="1112" t="s">
        <v>75</v>
      </c>
      <c r="C118" s="1113" t="s">
        <v>1096</v>
      </c>
      <c r="D118" s="41" t="s">
        <v>1219</v>
      </c>
      <c r="E118" s="52" t="s">
        <v>14</v>
      </c>
      <c r="F118" s="40" t="s">
        <v>14</v>
      </c>
      <c r="G118" s="44">
        <v>13000</v>
      </c>
      <c r="H118" s="131">
        <v>0</v>
      </c>
      <c r="I118" s="1056">
        <v>0</v>
      </c>
      <c r="J118" s="1070">
        <v>0</v>
      </c>
      <c r="K118" s="453">
        <v>0</v>
      </c>
      <c r="L118" s="647">
        <f t="shared" si="9"/>
        <v>10000</v>
      </c>
      <c r="M118" s="135">
        <v>10500</v>
      </c>
      <c r="N118" s="622">
        <v>-500</v>
      </c>
      <c r="O118" s="622">
        <f t="shared" si="8"/>
        <v>10000</v>
      </c>
      <c r="P118" s="135">
        <v>3000</v>
      </c>
      <c r="Q118" s="135">
        <v>0</v>
      </c>
      <c r="R118" s="453">
        <v>0</v>
      </c>
      <c r="S118" s="818">
        <v>0</v>
      </c>
      <c r="T118" s="786">
        <v>0</v>
      </c>
      <c r="U118" s="453">
        <v>0</v>
      </c>
      <c r="V118" s="454">
        <v>0</v>
      </c>
      <c r="W118" s="454">
        <v>0</v>
      </c>
      <c r="X118" s="818">
        <v>0</v>
      </c>
      <c r="Y118" s="392">
        <v>0</v>
      </c>
      <c r="Z118" s="292" t="s">
        <v>1892</v>
      </c>
      <c r="AA118" s="40" t="s">
        <v>10</v>
      </c>
      <c r="AB118" s="456" t="s">
        <v>1237</v>
      </c>
      <c r="AC118" s="41" t="s">
        <v>80</v>
      </c>
      <c r="AD118" s="49" t="s">
        <v>89</v>
      </c>
      <c r="AE118" s="957" t="s">
        <v>183</v>
      </c>
      <c r="AF118" s="957"/>
    </row>
    <row r="119" spans="1:32" ht="26.4" outlineLevel="1" x14ac:dyDescent="0.25">
      <c r="A119" s="225" t="s">
        <v>1122</v>
      </c>
      <c r="B119" s="1764" t="s">
        <v>75</v>
      </c>
      <c r="C119" s="1766" t="s">
        <v>1097</v>
      </c>
      <c r="D119" s="1629" t="s">
        <v>1219</v>
      </c>
      <c r="E119" s="1643" t="s">
        <v>14</v>
      </c>
      <c r="F119" s="1642" t="s">
        <v>14</v>
      </c>
      <c r="G119" s="1499">
        <v>13000</v>
      </c>
      <c r="H119" s="1192">
        <v>0</v>
      </c>
      <c r="I119" s="1182">
        <v>0</v>
      </c>
      <c r="J119" s="1188">
        <v>0</v>
      </c>
      <c r="K119" s="1237">
        <v>0</v>
      </c>
      <c r="L119" s="1185">
        <f t="shared" si="9"/>
        <v>7000</v>
      </c>
      <c r="M119" s="1191">
        <v>7000</v>
      </c>
      <c r="N119" s="229">
        <v>0</v>
      </c>
      <c r="O119" s="1617">
        <f t="shared" si="8"/>
        <v>7000</v>
      </c>
      <c r="P119" s="1169">
        <v>6000</v>
      </c>
      <c r="Q119" s="1169">
        <v>0</v>
      </c>
      <c r="R119" s="1237">
        <v>0</v>
      </c>
      <c r="S119" s="1999">
        <v>0</v>
      </c>
      <c r="T119" s="1360">
        <v>0</v>
      </c>
      <c r="U119" s="1237">
        <v>0</v>
      </c>
      <c r="V119" s="1184">
        <v>0</v>
      </c>
      <c r="W119" s="1184">
        <v>0</v>
      </c>
      <c r="X119" s="1999">
        <v>0</v>
      </c>
      <c r="Y119" s="1238">
        <v>0</v>
      </c>
      <c r="Z119" s="2093" t="s">
        <v>72</v>
      </c>
      <c r="AA119" s="1642" t="s">
        <v>10</v>
      </c>
      <c r="AB119" s="2043" t="s">
        <v>1237</v>
      </c>
      <c r="AC119" s="1629" t="s">
        <v>80</v>
      </c>
      <c r="AD119" s="1986" t="s">
        <v>89</v>
      </c>
      <c r="AE119" s="1631" t="s">
        <v>166</v>
      </c>
      <c r="AF119" s="1631"/>
    </row>
    <row r="120" spans="1:32" ht="26.4" outlineLevel="1" x14ac:dyDescent="0.25">
      <c r="A120" s="446" t="s">
        <v>1123</v>
      </c>
      <c r="B120" s="1112" t="s">
        <v>1638</v>
      </c>
      <c r="C120" s="1113" t="s">
        <v>1098</v>
      </c>
      <c r="D120" s="41" t="s">
        <v>1219</v>
      </c>
      <c r="E120" s="52" t="s">
        <v>14</v>
      </c>
      <c r="F120" s="40" t="s">
        <v>14</v>
      </c>
      <c r="G120" s="44">
        <v>21000</v>
      </c>
      <c r="H120" s="131">
        <v>0</v>
      </c>
      <c r="I120" s="1056">
        <v>0</v>
      </c>
      <c r="J120" s="1070">
        <v>14503.654200000001</v>
      </c>
      <c r="K120" s="453">
        <v>0</v>
      </c>
      <c r="L120" s="647">
        <f t="shared" si="9"/>
        <v>14505</v>
      </c>
      <c r="M120" s="135">
        <v>15500</v>
      </c>
      <c r="N120" s="622">
        <v>-995</v>
      </c>
      <c r="O120" s="622">
        <f t="shared" si="8"/>
        <v>14505</v>
      </c>
      <c r="P120" s="135">
        <f>4000+1500+995</f>
        <v>6495</v>
      </c>
      <c r="Q120" s="135">
        <v>0</v>
      </c>
      <c r="R120" s="453">
        <v>0</v>
      </c>
      <c r="S120" s="818">
        <v>0</v>
      </c>
      <c r="T120" s="786">
        <v>0</v>
      </c>
      <c r="U120" s="453">
        <v>0</v>
      </c>
      <c r="V120" s="454">
        <v>0</v>
      </c>
      <c r="W120" s="454">
        <v>0</v>
      </c>
      <c r="X120" s="818">
        <v>0</v>
      </c>
      <c r="Y120" s="392">
        <v>0</v>
      </c>
      <c r="Z120" s="292" t="s">
        <v>1945</v>
      </c>
      <c r="AA120" s="40" t="s">
        <v>151</v>
      </c>
      <c r="AB120" s="456" t="s">
        <v>382</v>
      </c>
      <c r="AC120" s="41" t="s">
        <v>80</v>
      </c>
      <c r="AD120" s="49" t="s">
        <v>89</v>
      </c>
      <c r="AE120" s="957" t="s">
        <v>177</v>
      </c>
      <c r="AF120" s="957"/>
    </row>
    <row r="121" spans="1:32" ht="26.4" outlineLevel="1" x14ac:dyDescent="0.25">
      <c r="A121" s="446" t="s">
        <v>1124</v>
      </c>
      <c r="B121" s="1112" t="s">
        <v>75</v>
      </c>
      <c r="C121" s="1113" t="s">
        <v>1099</v>
      </c>
      <c r="D121" s="41" t="s">
        <v>1219</v>
      </c>
      <c r="E121" s="52" t="s">
        <v>14</v>
      </c>
      <c r="F121" s="40" t="s">
        <v>14</v>
      </c>
      <c r="G121" s="44">
        <v>10000</v>
      </c>
      <c r="H121" s="131">
        <v>0</v>
      </c>
      <c r="I121" s="1056">
        <v>0</v>
      </c>
      <c r="J121" s="1070">
        <v>0</v>
      </c>
      <c r="K121" s="453">
        <v>0</v>
      </c>
      <c r="L121" s="647">
        <f t="shared" si="9"/>
        <v>8200</v>
      </c>
      <c r="M121" s="135">
        <v>6000</v>
      </c>
      <c r="N121" s="622">
        <v>2200</v>
      </c>
      <c r="O121" s="622">
        <f t="shared" si="8"/>
        <v>8200</v>
      </c>
      <c r="P121" s="135">
        <f>4000-2200</f>
        <v>1800</v>
      </c>
      <c r="Q121" s="135">
        <v>0</v>
      </c>
      <c r="R121" s="453">
        <v>0</v>
      </c>
      <c r="S121" s="818">
        <v>0</v>
      </c>
      <c r="T121" s="786">
        <v>0</v>
      </c>
      <c r="U121" s="453">
        <v>0</v>
      </c>
      <c r="V121" s="454">
        <v>0</v>
      </c>
      <c r="W121" s="454">
        <v>0</v>
      </c>
      <c r="X121" s="818">
        <v>0</v>
      </c>
      <c r="Y121" s="392">
        <v>0</v>
      </c>
      <c r="Z121" s="292" t="s">
        <v>1893</v>
      </c>
      <c r="AA121" s="40" t="s">
        <v>10</v>
      </c>
      <c r="AB121" s="456" t="s">
        <v>382</v>
      </c>
      <c r="AC121" s="41" t="s">
        <v>80</v>
      </c>
      <c r="AD121" s="49" t="s">
        <v>89</v>
      </c>
      <c r="AE121" s="957" t="s">
        <v>241</v>
      </c>
      <c r="AF121" s="957"/>
    </row>
    <row r="122" spans="1:32" ht="26.4" outlineLevel="1" x14ac:dyDescent="0.25">
      <c r="A122" s="446" t="s">
        <v>1125</v>
      </c>
      <c r="B122" s="1112" t="s">
        <v>75</v>
      </c>
      <c r="C122" s="1113" t="s">
        <v>1100</v>
      </c>
      <c r="D122" s="41" t="s">
        <v>1219</v>
      </c>
      <c r="E122" s="52" t="s">
        <v>14</v>
      </c>
      <c r="F122" s="40" t="s">
        <v>14</v>
      </c>
      <c r="G122" s="44">
        <f>11000+1000</f>
        <v>12000</v>
      </c>
      <c r="H122" s="131">
        <v>0</v>
      </c>
      <c r="I122" s="1056">
        <v>0</v>
      </c>
      <c r="J122" s="1070">
        <v>0</v>
      </c>
      <c r="K122" s="453">
        <v>0</v>
      </c>
      <c r="L122" s="647">
        <f t="shared" si="9"/>
        <v>0</v>
      </c>
      <c r="M122" s="135">
        <v>10000</v>
      </c>
      <c r="N122" s="622">
        <v>-10000</v>
      </c>
      <c r="O122" s="622">
        <f t="shared" si="8"/>
        <v>0</v>
      </c>
      <c r="P122" s="135">
        <v>12000</v>
      </c>
      <c r="Q122" s="135">
        <v>0</v>
      </c>
      <c r="R122" s="453">
        <v>0</v>
      </c>
      <c r="S122" s="818">
        <v>0</v>
      </c>
      <c r="T122" s="786">
        <v>0</v>
      </c>
      <c r="U122" s="453">
        <v>0</v>
      </c>
      <c r="V122" s="454">
        <v>0</v>
      </c>
      <c r="W122" s="454">
        <v>0</v>
      </c>
      <c r="X122" s="818">
        <v>0</v>
      </c>
      <c r="Y122" s="392">
        <v>0</v>
      </c>
      <c r="Z122" s="292" t="s">
        <v>1894</v>
      </c>
      <c r="AA122" s="40" t="s">
        <v>10</v>
      </c>
      <c r="AB122" s="456" t="s">
        <v>1390</v>
      </c>
      <c r="AC122" s="41" t="s">
        <v>80</v>
      </c>
      <c r="AD122" s="49" t="s">
        <v>89</v>
      </c>
      <c r="AE122" s="957" t="s">
        <v>560</v>
      </c>
      <c r="AF122" s="957"/>
    </row>
    <row r="123" spans="1:32" ht="26.4" outlineLevel="1" x14ac:dyDescent="0.25">
      <c r="A123" s="446" t="s">
        <v>1126</v>
      </c>
      <c r="B123" s="1112" t="s">
        <v>75</v>
      </c>
      <c r="C123" s="1113" t="s">
        <v>1101</v>
      </c>
      <c r="D123" s="41" t="s">
        <v>1219</v>
      </c>
      <c r="E123" s="52" t="s">
        <v>14</v>
      </c>
      <c r="F123" s="40" t="s">
        <v>14</v>
      </c>
      <c r="G123" s="44">
        <v>13000</v>
      </c>
      <c r="H123" s="131">
        <v>0</v>
      </c>
      <c r="I123" s="1056">
        <v>0</v>
      </c>
      <c r="J123" s="1070">
        <v>0</v>
      </c>
      <c r="K123" s="453">
        <v>0</v>
      </c>
      <c r="L123" s="647">
        <f t="shared" si="9"/>
        <v>8200</v>
      </c>
      <c r="M123" s="135">
        <v>7000</v>
      </c>
      <c r="N123" s="622">
        <v>1200</v>
      </c>
      <c r="O123" s="622">
        <f t="shared" si="8"/>
        <v>8200</v>
      </c>
      <c r="P123" s="135">
        <f>6000-1200</f>
        <v>4800</v>
      </c>
      <c r="Q123" s="135">
        <v>0</v>
      </c>
      <c r="R123" s="453">
        <v>0</v>
      </c>
      <c r="S123" s="818">
        <v>0</v>
      </c>
      <c r="T123" s="786">
        <v>0</v>
      </c>
      <c r="U123" s="453">
        <v>0</v>
      </c>
      <c r="V123" s="454">
        <v>0</v>
      </c>
      <c r="W123" s="454">
        <v>0</v>
      </c>
      <c r="X123" s="818">
        <v>0</v>
      </c>
      <c r="Y123" s="392">
        <v>0</v>
      </c>
      <c r="Z123" s="292" t="s">
        <v>1895</v>
      </c>
      <c r="AA123" s="40" t="s">
        <v>10</v>
      </c>
      <c r="AB123" s="456" t="s">
        <v>382</v>
      </c>
      <c r="AC123" s="41" t="s">
        <v>80</v>
      </c>
      <c r="AD123" s="49" t="s">
        <v>89</v>
      </c>
      <c r="AE123" s="957" t="s">
        <v>166</v>
      </c>
      <c r="AF123" s="957"/>
    </row>
    <row r="124" spans="1:32" ht="26.4" outlineLevel="1" x14ac:dyDescent="0.25">
      <c r="A124" s="446" t="s">
        <v>1127</v>
      </c>
      <c r="B124" s="1112" t="s">
        <v>1645</v>
      </c>
      <c r="C124" s="1113" t="s">
        <v>1102</v>
      </c>
      <c r="D124" s="41" t="s">
        <v>1219</v>
      </c>
      <c r="E124" s="52" t="s">
        <v>14</v>
      </c>
      <c r="F124" s="40" t="s">
        <v>14</v>
      </c>
      <c r="G124" s="44">
        <v>16000</v>
      </c>
      <c r="H124" s="131">
        <v>0</v>
      </c>
      <c r="I124" s="1056">
        <v>0</v>
      </c>
      <c r="J124" s="1070">
        <v>7837.3865800000003</v>
      </c>
      <c r="K124" s="453">
        <v>0</v>
      </c>
      <c r="L124" s="647">
        <f t="shared" si="9"/>
        <v>8000</v>
      </c>
      <c r="M124" s="135">
        <v>8500</v>
      </c>
      <c r="N124" s="622">
        <v>-500</v>
      </c>
      <c r="O124" s="622">
        <f t="shared" si="8"/>
        <v>8000</v>
      </c>
      <c r="P124" s="135">
        <v>3000</v>
      </c>
      <c r="Q124" s="135">
        <v>5000</v>
      </c>
      <c r="R124" s="453">
        <v>0</v>
      </c>
      <c r="S124" s="818">
        <v>0</v>
      </c>
      <c r="T124" s="786">
        <v>0</v>
      </c>
      <c r="U124" s="453">
        <v>0</v>
      </c>
      <c r="V124" s="454">
        <v>0</v>
      </c>
      <c r="W124" s="454">
        <v>0</v>
      </c>
      <c r="X124" s="818">
        <v>0</v>
      </c>
      <c r="Y124" s="392">
        <v>0</v>
      </c>
      <c r="Z124" s="292" t="s">
        <v>1896</v>
      </c>
      <c r="AA124" s="40" t="s">
        <v>10</v>
      </c>
      <c r="AB124" s="456" t="s">
        <v>1073</v>
      </c>
      <c r="AC124" s="41" t="s">
        <v>80</v>
      </c>
      <c r="AD124" s="49" t="s">
        <v>89</v>
      </c>
      <c r="AE124" s="957" t="s">
        <v>166</v>
      </c>
      <c r="AF124" s="957"/>
    </row>
    <row r="125" spans="1:32" ht="26.4" outlineLevel="1" x14ac:dyDescent="0.25">
      <c r="A125" s="446" t="s">
        <v>1128</v>
      </c>
      <c r="B125" s="1112" t="s">
        <v>75</v>
      </c>
      <c r="C125" s="1113" t="s">
        <v>1103</v>
      </c>
      <c r="D125" s="41" t="s">
        <v>1219</v>
      </c>
      <c r="E125" s="52" t="s">
        <v>14</v>
      </c>
      <c r="F125" s="40" t="s">
        <v>14</v>
      </c>
      <c r="G125" s="44">
        <v>27000</v>
      </c>
      <c r="H125" s="131">
        <v>0</v>
      </c>
      <c r="I125" s="1056">
        <v>0</v>
      </c>
      <c r="J125" s="1070">
        <v>3844.9578099999999</v>
      </c>
      <c r="K125" s="453">
        <v>0</v>
      </c>
      <c r="L125" s="647">
        <f t="shared" si="9"/>
        <v>22300</v>
      </c>
      <c r="M125" s="135">
        <v>20000</v>
      </c>
      <c r="N125" s="622">
        <v>2300</v>
      </c>
      <c r="O125" s="622">
        <f t="shared" si="8"/>
        <v>22300</v>
      </c>
      <c r="P125" s="135">
        <f>7000-2300</f>
        <v>4700</v>
      </c>
      <c r="Q125" s="135">
        <v>0</v>
      </c>
      <c r="R125" s="453">
        <v>0</v>
      </c>
      <c r="S125" s="818">
        <v>0</v>
      </c>
      <c r="T125" s="786">
        <v>0</v>
      </c>
      <c r="U125" s="453">
        <v>0</v>
      </c>
      <c r="V125" s="454">
        <v>0</v>
      </c>
      <c r="W125" s="454">
        <v>0</v>
      </c>
      <c r="X125" s="818">
        <v>0</v>
      </c>
      <c r="Y125" s="392">
        <v>0</v>
      </c>
      <c r="Z125" s="292" t="s">
        <v>1897</v>
      </c>
      <c r="AA125" s="40" t="s">
        <v>10</v>
      </c>
      <c r="AB125" s="456" t="s">
        <v>382</v>
      </c>
      <c r="AC125" s="41" t="s">
        <v>80</v>
      </c>
      <c r="AD125" s="49" t="s">
        <v>89</v>
      </c>
      <c r="AE125" s="957" t="s">
        <v>560</v>
      </c>
      <c r="AF125" s="957"/>
    </row>
    <row r="126" spans="1:32" ht="26.4" outlineLevel="1" x14ac:dyDescent="0.25">
      <c r="A126" s="1114" t="s">
        <v>1129</v>
      </c>
      <c r="B126" s="1115" t="s">
        <v>1640</v>
      </c>
      <c r="C126" s="1116" t="s">
        <v>1104</v>
      </c>
      <c r="D126" s="209" t="s">
        <v>1219</v>
      </c>
      <c r="E126" s="51" t="s">
        <v>14</v>
      </c>
      <c r="F126" s="212" t="s">
        <v>14</v>
      </c>
      <c r="G126" s="210">
        <f>12000-1047</f>
        <v>10953</v>
      </c>
      <c r="H126" s="211">
        <v>0</v>
      </c>
      <c r="I126" s="1117">
        <v>0</v>
      </c>
      <c r="J126" s="1118">
        <v>10918.500340000001</v>
      </c>
      <c r="K126" s="1119">
        <v>0</v>
      </c>
      <c r="L126" s="1120">
        <f t="shared" si="9"/>
        <v>10953</v>
      </c>
      <c r="M126" s="1121">
        <v>12000</v>
      </c>
      <c r="N126" s="1122">
        <v>-1047</v>
      </c>
      <c r="O126" s="1122">
        <f t="shared" si="8"/>
        <v>10953</v>
      </c>
      <c r="P126" s="1121">
        <v>0</v>
      </c>
      <c r="Q126" s="1121">
        <v>0</v>
      </c>
      <c r="R126" s="1119">
        <v>0</v>
      </c>
      <c r="S126" s="1123">
        <v>0</v>
      </c>
      <c r="T126" s="1124">
        <v>0</v>
      </c>
      <c r="U126" s="1119">
        <v>0</v>
      </c>
      <c r="V126" s="1125">
        <v>0</v>
      </c>
      <c r="W126" s="1125">
        <v>0</v>
      </c>
      <c r="X126" s="1123">
        <v>0</v>
      </c>
      <c r="Y126" s="1126">
        <v>0</v>
      </c>
      <c r="Z126" s="339" t="s">
        <v>1806</v>
      </c>
      <c r="AA126" s="212" t="s">
        <v>151</v>
      </c>
      <c r="AB126" s="1127" t="s">
        <v>382</v>
      </c>
      <c r="AC126" s="209" t="s">
        <v>80</v>
      </c>
      <c r="AD126" s="110" t="s">
        <v>89</v>
      </c>
      <c r="AE126" s="1128" t="s">
        <v>171</v>
      </c>
      <c r="AF126" s="1128"/>
    </row>
    <row r="127" spans="1:32" ht="26.4" outlineLevel="1" x14ac:dyDescent="0.25">
      <c r="A127" s="1077" t="s">
        <v>1130</v>
      </c>
      <c r="B127" s="1767" t="s">
        <v>75</v>
      </c>
      <c r="C127" s="1768" t="s">
        <v>1289</v>
      </c>
      <c r="D127" s="1769" t="s">
        <v>1219</v>
      </c>
      <c r="E127" s="1702" t="s">
        <v>14</v>
      </c>
      <c r="F127" s="1701" t="s">
        <v>14</v>
      </c>
      <c r="G127" s="1704">
        <f>15000-4024</f>
        <v>10976</v>
      </c>
      <c r="H127" s="1313">
        <v>0</v>
      </c>
      <c r="I127" s="1254">
        <v>0</v>
      </c>
      <c r="J127" s="1255">
        <v>10237.50266</v>
      </c>
      <c r="K127" s="1256">
        <v>0</v>
      </c>
      <c r="L127" s="1314">
        <f t="shared" si="9"/>
        <v>10976</v>
      </c>
      <c r="M127" s="1258">
        <v>12000</v>
      </c>
      <c r="N127" s="1038">
        <v>-1024</v>
      </c>
      <c r="O127" s="2063">
        <f t="shared" si="8"/>
        <v>10976</v>
      </c>
      <c r="P127" s="1258">
        <v>0</v>
      </c>
      <c r="Q127" s="1258">
        <v>0</v>
      </c>
      <c r="R127" s="1256">
        <v>0</v>
      </c>
      <c r="S127" s="2064">
        <v>0</v>
      </c>
      <c r="T127" s="2139">
        <v>0</v>
      </c>
      <c r="U127" s="1256">
        <v>0</v>
      </c>
      <c r="V127" s="2066">
        <v>0</v>
      </c>
      <c r="W127" s="2066">
        <v>0</v>
      </c>
      <c r="X127" s="2064">
        <v>0</v>
      </c>
      <c r="Y127" s="1257">
        <v>0</v>
      </c>
      <c r="Z127" s="2140" t="s">
        <v>1946</v>
      </c>
      <c r="AA127" s="1701" t="s">
        <v>151</v>
      </c>
      <c r="AB127" s="2068" t="s">
        <v>382</v>
      </c>
      <c r="AC127" s="1769" t="s">
        <v>80</v>
      </c>
      <c r="AD127" s="2141" t="s">
        <v>89</v>
      </c>
      <c r="AE127" s="1938" t="s">
        <v>185</v>
      </c>
      <c r="AF127" s="1938"/>
    </row>
    <row r="128" spans="1:32" ht="26.4" outlineLevel="1" x14ac:dyDescent="0.25">
      <c r="A128" s="446" t="s">
        <v>1131</v>
      </c>
      <c r="B128" s="1112" t="s">
        <v>75</v>
      </c>
      <c r="C128" s="1113" t="s">
        <v>1290</v>
      </c>
      <c r="D128" s="41" t="s">
        <v>1219</v>
      </c>
      <c r="E128" s="52" t="s">
        <v>14</v>
      </c>
      <c r="F128" s="40" t="s">
        <v>14</v>
      </c>
      <c r="G128" s="44">
        <v>11400</v>
      </c>
      <c r="H128" s="131">
        <v>0</v>
      </c>
      <c r="I128" s="1056">
        <v>0</v>
      </c>
      <c r="J128" s="1070">
        <v>9706.9827600000008</v>
      </c>
      <c r="K128" s="453">
        <v>0</v>
      </c>
      <c r="L128" s="647">
        <f t="shared" si="9"/>
        <v>10000</v>
      </c>
      <c r="M128" s="460">
        <v>11400</v>
      </c>
      <c r="N128" s="622">
        <v>-1400</v>
      </c>
      <c r="O128" s="622">
        <f t="shared" si="8"/>
        <v>10000</v>
      </c>
      <c r="P128" s="135">
        <v>1400</v>
      </c>
      <c r="Q128" s="135">
        <v>0</v>
      </c>
      <c r="R128" s="453">
        <v>0</v>
      </c>
      <c r="S128" s="818">
        <v>0</v>
      </c>
      <c r="T128" s="786">
        <v>0</v>
      </c>
      <c r="U128" s="453">
        <v>0</v>
      </c>
      <c r="V128" s="454">
        <v>0</v>
      </c>
      <c r="W128" s="454">
        <v>0</v>
      </c>
      <c r="X128" s="818">
        <v>0</v>
      </c>
      <c r="Y128" s="392">
        <v>0</v>
      </c>
      <c r="Z128" s="292" t="s">
        <v>1898</v>
      </c>
      <c r="AA128" s="40" t="s">
        <v>151</v>
      </c>
      <c r="AB128" s="456" t="s">
        <v>1311</v>
      </c>
      <c r="AC128" s="41" t="s">
        <v>80</v>
      </c>
      <c r="AD128" s="49" t="s">
        <v>89</v>
      </c>
      <c r="AE128" s="957" t="s">
        <v>187</v>
      </c>
      <c r="AF128" s="957"/>
    </row>
    <row r="129" spans="1:32" ht="26.4" outlineLevel="1" x14ac:dyDescent="0.25">
      <c r="A129" s="393" t="s">
        <v>1132</v>
      </c>
      <c r="B129" s="394" t="s">
        <v>75</v>
      </c>
      <c r="C129" s="395" t="s">
        <v>1105</v>
      </c>
      <c r="D129" s="115" t="s">
        <v>1219</v>
      </c>
      <c r="E129" s="345" t="s">
        <v>14</v>
      </c>
      <c r="F129" s="317" t="s">
        <v>14</v>
      </c>
      <c r="G129" s="262">
        <v>0</v>
      </c>
      <c r="H129" s="396">
        <v>0</v>
      </c>
      <c r="I129" s="397">
        <v>0</v>
      </c>
      <c r="J129" s="398">
        <v>0</v>
      </c>
      <c r="K129" s="346">
        <v>0</v>
      </c>
      <c r="L129" s="432">
        <f t="shared" si="9"/>
        <v>0</v>
      </c>
      <c r="M129" s="336">
        <v>45300</v>
      </c>
      <c r="N129" s="264">
        <v>-45300</v>
      </c>
      <c r="O129" s="264">
        <f t="shared" si="8"/>
        <v>0</v>
      </c>
      <c r="P129" s="263">
        <v>0</v>
      </c>
      <c r="Q129" s="263">
        <v>0</v>
      </c>
      <c r="R129" s="346">
        <v>0</v>
      </c>
      <c r="S129" s="347">
        <v>0</v>
      </c>
      <c r="T129" s="348">
        <v>0</v>
      </c>
      <c r="U129" s="346">
        <v>0</v>
      </c>
      <c r="V129" s="267">
        <v>0</v>
      </c>
      <c r="W129" s="267">
        <v>0</v>
      </c>
      <c r="X129" s="347">
        <v>0</v>
      </c>
      <c r="Y129" s="399">
        <v>0</v>
      </c>
      <c r="Z129" s="352" t="s">
        <v>1947</v>
      </c>
      <c r="AA129" s="317" t="s">
        <v>81</v>
      </c>
      <c r="AB129" s="350" t="s">
        <v>448</v>
      </c>
      <c r="AC129" s="268" t="s">
        <v>80</v>
      </c>
      <c r="AD129" s="268" t="s">
        <v>89</v>
      </c>
      <c r="AE129" s="261" t="s">
        <v>186</v>
      </c>
      <c r="AF129" s="261"/>
    </row>
    <row r="130" spans="1:32" ht="26.4" outlineLevel="1" x14ac:dyDescent="0.25">
      <c r="A130" s="225" t="s">
        <v>1133</v>
      </c>
      <c r="B130" s="1764" t="s">
        <v>75</v>
      </c>
      <c r="C130" s="1766" t="s">
        <v>1291</v>
      </c>
      <c r="D130" s="1629" t="s">
        <v>1219</v>
      </c>
      <c r="E130" s="1643" t="s">
        <v>14</v>
      </c>
      <c r="F130" s="1642" t="s">
        <v>14</v>
      </c>
      <c r="G130" s="1499">
        <f>6000+9000</f>
        <v>15000</v>
      </c>
      <c r="H130" s="1192">
        <v>0</v>
      </c>
      <c r="I130" s="1182">
        <v>0</v>
      </c>
      <c r="J130" s="1188">
        <v>0</v>
      </c>
      <c r="K130" s="1237">
        <v>0</v>
      </c>
      <c r="L130" s="1185">
        <f t="shared" si="9"/>
        <v>0</v>
      </c>
      <c r="M130" s="1169">
        <v>0</v>
      </c>
      <c r="N130" s="229">
        <v>0</v>
      </c>
      <c r="O130" s="1617">
        <f t="shared" si="8"/>
        <v>0</v>
      </c>
      <c r="P130" s="1169">
        <v>15000</v>
      </c>
      <c r="Q130" s="1169">
        <v>0</v>
      </c>
      <c r="R130" s="1237">
        <v>0</v>
      </c>
      <c r="S130" s="1999">
        <v>0</v>
      </c>
      <c r="T130" s="1360">
        <v>0</v>
      </c>
      <c r="U130" s="1237">
        <v>0</v>
      </c>
      <c r="V130" s="1184">
        <v>0</v>
      </c>
      <c r="W130" s="1184">
        <v>0</v>
      </c>
      <c r="X130" s="1999">
        <v>0</v>
      </c>
      <c r="Y130" s="1238">
        <v>0</v>
      </c>
      <c r="Z130" s="2093" t="s">
        <v>72</v>
      </c>
      <c r="AA130" s="1642" t="s">
        <v>6</v>
      </c>
      <c r="AB130" s="2043" t="s">
        <v>1237</v>
      </c>
      <c r="AC130" s="1629" t="s">
        <v>79</v>
      </c>
      <c r="AD130" s="1986" t="s">
        <v>90</v>
      </c>
      <c r="AE130" s="1631" t="s">
        <v>178</v>
      </c>
      <c r="AF130" s="1631"/>
    </row>
    <row r="131" spans="1:32" ht="26.4" outlineLevel="1" x14ac:dyDescent="0.25">
      <c r="A131" s="225" t="s">
        <v>1134</v>
      </c>
      <c r="B131" s="1764" t="s">
        <v>75</v>
      </c>
      <c r="C131" s="1766" t="s">
        <v>1106</v>
      </c>
      <c r="D131" s="1629" t="s">
        <v>1219</v>
      </c>
      <c r="E131" s="1643" t="s">
        <v>14</v>
      </c>
      <c r="F131" s="1642" t="s">
        <v>14</v>
      </c>
      <c r="G131" s="1499">
        <v>20000</v>
      </c>
      <c r="H131" s="1192">
        <v>0</v>
      </c>
      <c r="I131" s="1182">
        <v>0</v>
      </c>
      <c r="J131" s="1188">
        <v>0</v>
      </c>
      <c r="K131" s="1237">
        <v>0</v>
      </c>
      <c r="L131" s="1185">
        <f t="shared" si="9"/>
        <v>0</v>
      </c>
      <c r="M131" s="1169">
        <v>0</v>
      </c>
      <c r="N131" s="229">
        <v>0</v>
      </c>
      <c r="O131" s="1617">
        <f t="shared" si="8"/>
        <v>0</v>
      </c>
      <c r="P131" s="1169">
        <v>20000</v>
      </c>
      <c r="Q131" s="1169">
        <v>0</v>
      </c>
      <c r="R131" s="1237">
        <v>0</v>
      </c>
      <c r="S131" s="1999">
        <v>0</v>
      </c>
      <c r="T131" s="1360">
        <v>0</v>
      </c>
      <c r="U131" s="1237">
        <v>0</v>
      </c>
      <c r="V131" s="1184">
        <v>0</v>
      </c>
      <c r="W131" s="1184">
        <v>0</v>
      </c>
      <c r="X131" s="1999">
        <v>0</v>
      </c>
      <c r="Y131" s="1238">
        <v>0</v>
      </c>
      <c r="Z131" s="2093" t="s">
        <v>72</v>
      </c>
      <c r="AA131" s="1642" t="s">
        <v>6</v>
      </c>
      <c r="AB131" s="2043" t="s">
        <v>1050</v>
      </c>
      <c r="AC131" s="1629" t="s">
        <v>79</v>
      </c>
      <c r="AD131" s="1986" t="s">
        <v>90</v>
      </c>
      <c r="AE131" s="1631" t="s">
        <v>178</v>
      </c>
      <c r="AF131" s="1631"/>
    </row>
    <row r="132" spans="1:32" ht="26.4" outlineLevel="1" x14ac:dyDescent="0.25">
      <c r="A132" s="446" t="s">
        <v>1135</v>
      </c>
      <c r="B132" s="1112" t="s">
        <v>75</v>
      </c>
      <c r="C132" s="1113" t="s">
        <v>1107</v>
      </c>
      <c r="D132" s="41" t="s">
        <v>1219</v>
      </c>
      <c r="E132" s="52" t="s">
        <v>14</v>
      </c>
      <c r="F132" s="40" t="s">
        <v>14</v>
      </c>
      <c r="G132" s="44">
        <f>18000+32000</f>
        <v>50000</v>
      </c>
      <c r="H132" s="131">
        <v>0</v>
      </c>
      <c r="I132" s="1056">
        <v>0</v>
      </c>
      <c r="J132" s="1070">
        <v>0</v>
      </c>
      <c r="K132" s="453">
        <v>0</v>
      </c>
      <c r="L132" s="647">
        <f t="shared" si="9"/>
        <v>0</v>
      </c>
      <c r="M132" s="460">
        <v>30000</v>
      </c>
      <c r="N132" s="622">
        <v>-30000</v>
      </c>
      <c r="O132" s="622">
        <f t="shared" si="8"/>
        <v>0</v>
      </c>
      <c r="P132" s="135">
        <v>20000</v>
      </c>
      <c r="Q132" s="135">
        <v>30000</v>
      </c>
      <c r="R132" s="453">
        <v>0</v>
      </c>
      <c r="S132" s="818">
        <v>0</v>
      </c>
      <c r="T132" s="786">
        <v>0</v>
      </c>
      <c r="U132" s="453">
        <v>0</v>
      </c>
      <c r="V132" s="454">
        <v>0</v>
      </c>
      <c r="W132" s="454">
        <v>0</v>
      </c>
      <c r="X132" s="818">
        <v>0</v>
      </c>
      <c r="Y132" s="392">
        <v>0</v>
      </c>
      <c r="Z132" s="292" t="s">
        <v>1899</v>
      </c>
      <c r="AA132" s="40" t="s">
        <v>6</v>
      </c>
      <c r="AB132" s="456" t="s">
        <v>1237</v>
      </c>
      <c r="AC132" s="41" t="s">
        <v>79</v>
      </c>
      <c r="AD132" s="49" t="s">
        <v>89</v>
      </c>
      <c r="AE132" s="957" t="s">
        <v>178</v>
      </c>
      <c r="AF132" s="957"/>
    </row>
    <row r="133" spans="1:32" ht="26.4" outlineLevel="1" x14ac:dyDescent="0.25">
      <c r="A133" s="1114" t="s">
        <v>1136</v>
      </c>
      <c r="B133" s="1115" t="s">
        <v>75</v>
      </c>
      <c r="C133" s="1116" t="s">
        <v>1108</v>
      </c>
      <c r="D133" s="209" t="s">
        <v>1219</v>
      </c>
      <c r="E133" s="51" t="s">
        <v>14</v>
      </c>
      <c r="F133" s="212" t="s">
        <v>14</v>
      </c>
      <c r="G133" s="210">
        <f>20000+17000-16500</f>
        <v>20500</v>
      </c>
      <c r="H133" s="211">
        <v>0</v>
      </c>
      <c r="I133" s="1117">
        <v>0</v>
      </c>
      <c r="J133" s="1118">
        <v>0</v>
      </c>
      <c r="K133" s="1119">
        <v>0</v>
      </c>
      <c r="L133" s="1120">
        <f t="shared" ref="L133:L164" si="10">O133-K133</f>
        <v>20500</v>
      </c>
      <c r="M133" s="1129">
        <v>20000</v>
      </c>
      <c r="N133" s="1122">
        <v>500</v>
      </c>
      <c r="O133" s="1122">
        <f t="shared" si="8"/>
        <v>20500</v>
      </c>
      <c r="P133" s="1121">
        <v>0</v>
      </c>
      <c r="Q133" s="1121">
        <v>0</v>
      </c>
      <c r="R133" s="1119">
        <v>0</v>
      </c>
      <c r="S133" s="1123">
        <v>0</v>
      </c>
      <c r="T133" s="1124">
        <v>0</v>
      </c>
      <c r="U133" s="1119">
        <v>0</v>
      </c>
      <c r="V133" s="1125">
        <v>0</v>
      </c>
      <c r="W133" s="1125">
        <v>0</v>
      </c>
      <c r="X133" s="1123">
        <v>0</v>
      </c>
      <c r="Y133" s="1126">
        <v>0</v>
      </c>
      <c r="Z133" s="339" t="s">
        <v>1948</v>
      </c>
      <c r="AA133" s="212" t="s">
        <v>151</v>
      </c>
      <c r="AB133" s="1127" t="s">
        <v>382</v>
      </c>
      <c r="AC133" s="209" t="s">
        <v>80</v>
      </c>
      <c r="AD133" s="110" t="s">
        <v>90</v>
      </c>
      <c r="AE133" s="1128" t="s">
        <v>178</v>
      </c>
      <c r="AF133" s="1128"/>
    </row>
    <row r="134" spans="1:32" ht="26.4" outlineLevel="1" x14ac:dyDescent="0.25">
      <c r="A134" s="225" t="s">
        <v>1137</v>
      </c>
      <c r="B134" s="1764" t="s">
        <v>75</v>
      </c>
      <c r="C134" s="1766" t="s">
        <v>1109</v>
      </c>
      <c r="D134" s="1629" t="s">
        <v>1219</v>
      </c>
      <c r="E134" s="1643" t="s">
        <v>14</v>
      </c>
      <c r="F134" s="1642" t="s">
        <v>14</v>
      </c>
      <c r="G134" s="1499">
        <f>6000+22000</f>
        <v>28000</v>
      </c>
      <c r="H134" s="1192">
        <v>0</v>
      </c>
      <c r="I134" s="1182">
        <v>0</v>
      </c>
      <c r="J134" s="1188">
        <v>0</v>
      </c>
      <c r="K134" s="1237">
        <v>0</v>
      </c>
      <c r="L134" s="1185">
        <f t="shared" si="10"/>
        <v>0</v>
      </c>
      <c r="M134" s="1191">
        <v>0</v>
      </c>
      <c r="N134" s="229">
        <v>0</v>
      </c>
      <c r="O134" s="1617">
        <f t="shared" si="8"/>
        <v>0</v>
      </c>
      <c r="P134" s="1169">
        <v>28000</v>
      </c>
      <c r="Q134" s="1169">
        <v>0</v>
      </c>
      <c r="R134" s="1237">
        <v>0</v>
      </c>
      <c r="S134" s="1999">
        <v>0</v>
      </c>
      <c r="T134" s="1360">
        <v>0</v>
      </c>
      <c r="U134" s="1237">
        <v>0</v>
      </c>
      <c r="V134" s="1184">
        <v>0</v>
      </c>
      <c r="W134" s="1184">
        <v>0</v>
      </c>
      <c r="X134" s="1999">
        <v>0</v>
      </c>
      <c r="Y134" s="1238">
        <v>0</v>
      </c>
      <c r="Z134" s="2093" t="s">
        <v>72</v>
      </c>
      <c r="AA134" s="1642" t="s">
        <v>6</v>
      </c>
      <c r="AB134" s="2043" t="s">
        <v>1390</v>
      </c>
      <c r="AC134" s="1629" t="s">
        <v>79</v>
      </c>
      <c r="AD134" s="1986" t="s">
        <v>90</v>
      </c>
      <c r="AE134" s="1631" t="s">
        <v>167</v>
      </c>
      <c r="AF134" s="1631"/>
    </row>
    <row r="135" spans="1:32" ht="27" outlineLevel="1" thickBot="1" x14ac:dyDescent="0.3">
      <c r="A135" s="1130" t="s">
        <v>1175</v>
      </c>
      <c r="B135" s="1724" t="s">
        <v>1200</v>
      </c>
      <c r="C135" s="1770" t="s">
        <v>1176</v>
      </c>
      <c r="D135" s="1726" t="s">
        <v>1219</v>
      </c>
      <c r="E135" s="1727" t="s">
        <v>14</v>
      </c>
      <c r="F135" s="1726" t="s">
        <v>14</v>
      </c>
      <c r="G135" s="1729">
        <f>34614-9614+3760</f>
        <v>28760</v>
      </c>
      <c r="H135" s="1315">
        <v>18760.048039999998</v>
      </c>
      <c r="I135" s="1316">
        <v>1859.9443699999999</v>
      </c>
      <c r="J135" s="1317">
        <v>5447.67112</v>
      </c>
      <c r="K135" s="1318">
        <v>1859.9443699999999</v>
      </c>
      <c r="L135" s="1319">
        <f t="shared" si="10"/>
        <v>8140.007590000002</v>
      </c>
      <c r="M135" s="1320">
        <v>9999.9519600000021</v>
      </c>
      <c r="N135" s="693">
        <v>0</v>
      </c>
      <c r="O135" s="2142">
        <f t="shared" si="8"/>
        <v>9999.9519600000021</v>
      </c>
      <c r="P135" s="1320">
        <v>0</v>
      </c>
      <c r="Q135" s="2107">
        <v>0</v>
      </c>
      <c r="R135" s="1318">
        <v>0</v>
      </c>
      <c r="S135" s="2106">
        <v>0</v>
      </c>
      <c r="T135" s="2107">
        <v>0</v>
      </c>
      <c r="U135" s="1318">
        <v>0</v>
      </c>
      <c r="V135" s="2108">
        <v>0</v>
      </c>
      <c r="W135" s="2108">
        <v>0</v>
      </c>
      <c r="X135" s="2106">
        <v>0</v>
      </c>
      <c r="Y135" s="2109">
        <v>0</v>
      </c>
      <c r="Z135" s="2110" t="s">
        <v>1900</v>
      </c>
      <c r="AA135" s="1726" t="s">
        <v>151</v>
      </c>
      <c r="AB135" s="2112" t="s">
        <v>382</v>
      </c>
      <c r="AC135" s="2143" t="s">
        <v>80</v>
      </c>
      <c r="AD135" s="2113" t="s">
        <v>90</v>
      </c>
      <c r="AE135" s="1728" t="s">
        <v>167</v>
      </c>
      <c r="AF135" s="1728"/>
    </row>
    <row r="136" spans="1:32" ht="31.2" outlineLevel="1" x14ac:dyDescent="0.25">
      <c r="A136" s="446" t="s">
        <v>1370</v>
      </c>
      <c r="B136" s="447" t="s">
        <v>1482</v>
      </c>
      <c r="C136" s="1131" t="s">
        <v>1292</v>
      </c>
      <c r="D136" s="40" t="s">
        <v>1417</v>
      </c>
      <c r="E136" s="52" t="s">
        <v>14</v>
      </c>
      <c r="F136" s="40" t="s">
        <v>14</v>
      </c>
      <c r="G136" s="44">
        <f>17500+200+128682</f>
        <v>146382</v>
      </c>
      <c r="H136" s="131">
        <v>0</v>
      </c>
      <c r="I136" s="1056">
        <v>6137.6415900000002</v>
      </c>
      <c r="J136" s="1070">
        <v>3394.3320199999998</v>
      </c>
      <c r="K136" s="453">
        <v>6137.6415900000002</v>
      </c>
      <c r="L136" s="647">
        <f t="shared" si="10"/>
        <v>3862.3584099999998</v>
      </c>
      <c r="M136" s="135">
        <v>17700</v>
      </c>
      <c r="N136" s="622">
        <v>-7700</v>
      </c>
      <c r="O136" s="622">
        <f t="shared" si="8"/>
        <v>10000</v>
      </c>
      <c r="P136" s="135">
        <v>80000</v>
      </c>
      <c r="Q136" s="455">
        <f>28682+20000+7700</f>
        <v>56382</v>
      </c>
      <c r="R136" s="453">
        <v>0</v>
      </c>
      <c r="S136" s="818">
        <v>0</v>
      </c>
      <c r="T136" s="455">
        <v>0</v>
      </c>
      <c r="U136" s="453">
        <v>0</v>
      </c>
      <c r="V136" s="454">
        <v>0</v>
      </c>
      <c r="W136" s="454">
        <v>0</v>
      </c>
      <c r="X136" s="818">
        <v>0</v>
      </c>
      <c r="Y136" s="392">
        <v>0</v>
      </c>
      <c r="Z136" s="291" t="s">
        <v>1901</v>
      </c>
      <c r="AA136" s="40" t="s">
        <v>10</v>
      </c>
      <c r="AB136" s="456" t="s">
        <v>1237</v>
      </c>
      <c r="AC136" s="789" t="s">
        <v>80</v>
      </c>
      <c r="AD136" s="114" t="s">
        <v>89</v>
      </c>
      <c r="AE136" s="948" t="s">
        <v>167</v>
      </c>
      <c r="AF136" s="948" t="s">
        <v>84</v>
      </c>
    </row>
    <row r="137" spans="1:32" ht="31.2" outlineLevel="1" x14ac:dyDescent="0.25">
      <c r="A137" s="393" t="s">
        <v>1354</v>
      </c>
      <c r="B137" s="260" t="s">
        <v>75</v>
      </c>
      <c r="C137" s="431" t="s">
        <v>1293</v>
      </c>
      <c r="D137" s="317" t="s">
        <v>1417</v>
      </c>
      <c r="E137" s="345" t="s">
        <v>14</v>
      </c>
      <c r="F137" s="317" t="s">
        <v>14</v>
      </c>
      <c r="G137" s="262">
        <v>0</v>
      </c>
      <c r="H137" s="396">
        <v>0</v>
      </c>
      <c r="I137" s="397">
        <v>0</v>
      </c>
      <c r="J137" s="398">
        <v>0</v>
      </c>
      <c r="K137" s="346">
        <v>0</v>
      </c>
      <c r="L137" s="432">
        <f t="shared" si="10"/>
        <v>0</v>
      </c>
      <c r="M137" s="263">
        <v>20000</v>
      </c>
      <c r="N137" s="264">
        <v>-20000</v>
      </c>
      <c r="O137" s="264">
        <f t="shared" si="8"/>
        <v>0</v>
      </c>
      <c r="P137" s="263">
        <v>0</v>
      </c>
      <c r="Q137" s="349">
        <v>0</v>
      </c>
      <c r="R137" s="346">
        <v>0</v>
      </c>
      <c r="S137" s="347">
        <v>0</v>
      </c>
      <c r="T137" s="349">
        <v>0</v>
      </c>
      <c r="U137" s="346">
        <v>0</v>
      </c>
      <c r="V137" s="267">
        <v>0</v>
      </c>
      <c r="W137" s="267">
        <v>0</v>
      </c>
      <c r="X137" s="347">
        <v>0</v>
      </c>
      <c r="Y137" s="399">
        <v>0</v>
      </c>
      <c r="Z137" s="342" t="s">
        <v>1902</v>
      </c>
      <c r="AA137" s="317" t="s">
        <v>81</v>
      </c>
      <c r="AB137" s="350" t="s">
        <v>747</v>
      </c>
      <c r="AC137" s="433" t="s">
        <v>79</v>
      </c>
      <c r="AD137" s="318" t="s">
        <v>90</v>
      </c>
      <c r="AE137" s="354" t="s">
        <v>560</v>
      </c>
      <c r="AF137" s="354" t="s">
        <v>84</v>
      </c>
    </row>
    <row r="138" spans="1:32" ht="31.2" outlineLevel="1" x14ac:dyDescent="0.25">
      <c r="A138" s="446" t="s">
        <v>1355</v>
      </c>
      <c r="B138" s="458" t="s">
        <v>75</v>
      </c>
      <c r="C138" s="1131" t="s">
        <v>1294</v>
      </c>
      <c r="D138" s="40" t="s">
        <v>1417</v>
      </c>
      <c r="E138" s="52" t="s">
        <v>14</v>
      </c>
      <c r="F138" s="40" t="s">
        <v>14</v>
      </c>
      <c r="G138" s="44">
        <v>6400</v>
      </c>
      <c r="H138" s="131">
        <v>0</v>
      </c>
      <c r="I138" s="1056">
        <v>0</v>
      </c>
      <c r="J138" s="1070">
        <v>0</v>
      </c>
      <c r="K138" s="453">
        <v>0</v>
      </c>
      <c r="L138" s="647">
        <f t="shared" si="10"/>
        <v>500</v>
      </c>
      <c r="M138" s="135">
        <v>3200</v>
      </c>
      <c r="N138" s="622">
        <v>-2700</v>
      </c>
      <c r="O138" s="622">
        <f t="shared" si="8"/>
        <v>500</v>
      </c>
      <c r="P138" s="135">
        <f>3200+2700</f>
        <v>5900</v>
      </c>
      <c r="Q138" s="455">
        <v>0</v>
      </c>
      <c r="R138" s="453">
        <v>0</v>
      </c>
      <c r="S138" s="818">
        <v>0</v>
      </c>
      <c r="T138" s="455">
        <v>0</v>
      </c>
      <c r="U138" s="453">
        <v>0</v>
      </c>
      <c r="V138" s="454">
        <v>0</v>
      </c>
      <c r="W138" s="454">
        <v>0</v>
      </c>
      <c r="X138" s="818">
        <v>0</v>
      </c>
      <c r="Y138" s="392">
        <v>0</v>
      </c>
      <c r="Z138" s="291" t="s">
        <v>1903</v>
      </c>
      <c r="AA138" s="40" t="s">
        <v>10</v>
      </c>
      <c r="AB138" s="456" t="s">
        <v>1076</v>
      </c>
      <c r="AC138" s="789" t="s">
        <v>80</v>
      </c>
      <c r="AD138" s="114" t="s">
        <v>89</v>
      </c>
      <c r="AE138" s="948" t="s">
        <v>166</v>
      </c>
      <c r="AF138" s="948" t="s">
        <v>84</v>
      </c>
    </row>
    <row r="139" spans="1:32" ht="31.2" outlineLevel="1" x14ac:dyDescent="0.25">
      <c r="A139" s="446" t="s">
        <v>1356</v>
      </c>
      <c r="B139" s="458" t="s">
        <v>75</v>
      </c>
      <c r="C139" s="1131" t="s">
        <v>1295</v>
      </c>
      <c r="D139" s="40" t="s">
        <v>1417</v>
      </c>
      <c r="E139" s="52" t="s">
        <v>14</v>
      </c>
      <c r="F139" s="40" t="s">
        <v>14</v>
      </c>
      <c r="G139" s="44">
        <v>7500</v>
      </c>
      <c r="H139" s="131">
        <v>0</v>
      </c>
      <c r="I139" s="1056">
        <v>0</v>
      </c>
      <c r="J139" s="1070">
        <v>0</v>
      </c>
      <c r="K139" s="453">
        <v>0</v>
      </c>
      <c r="L139" s="647">
        <f t="shared" si="10"/>
        <v>500</v>
      </c>
      <c r="M139" s="135">
        <v>7500</v>
      </c>
      <c r="N139" s="622">
        <v>-7000</v>
      </c>
      <c r="O139" s="622">
        <f t="shared" si="8"/>
        <v>500</v>
      </c>
      <c r="P139" s="135">
        <v>5000</v>
      </c>
      <c r="Q139" s="455">
        <v>2000</v>
      </c>
      <c r="R139" s="453">
        <v>0</v>
      </c>
      <c r="S139" s="818">
        <v>0</v>
      </c>
      <c r="T139" s="455">
        <v>0</v>
      </c>
      <c r="U139" s="453">
        <v>0</v>
      </c>
      <c r="V139" s="454">
        <v>0</v>
      </c>
      <c r="W139" s="454">
        <v>0</v>
      </c>
      <c r="X139" s="818">
        <v>0</v>
      </c>
      <c r="Y139" s="392">
        <v>0</v>
      </c>
      <c r="Z139" s="291" t="s">
        <v>1904</v>
      </c>
      <c r="AA139" s="40" t="s">
        <v>10</v>
      </c>
      <c r="AB139" s="456" t="s">
        <v>1237</v>
      </c>
      <c r="AC139" s="789" t="s">
        <v>80</v>
      </c>
      <c r="AD139" s="114" t="s">
        <v>89</v>
      </c>
      <c r="AE139" s="948" t="s">
        <v>560</v>
      </c>
      <c r="AF139" s="948"/>
    </row>
    <row r="140" spans="1:32" ht="26.4" outlineLevel="1" x14ac:dyDescent="0.25">
      <c r="A140" s="446" t="s">
        <v>1357</v>
      </c>
      <c r="B140" s="458" t="s">
        <v>75</v>
      </c>
      <c r="C140" s="1131" t="s">
        <v>1296</v>
      </c>
      <c r="D140" s="40" t="s">
        <v>1417</v>
      </c>
      <c r="E140" s="52" t="s">
        <v>14</v>
      </c>
      <c r="F140" s="40" t="s">
        <v>14</v>
      </c>
      <c r="G140" s="44">
        <v>60000</v>
      </c>
      <c r="H140" s="131">
        <v>0</v>
      </c>
      <c r="I140" s="1056">
        <v>0</v>
      </c>
      <c r="J140" s="1070">
        <v>437.32598000000002</v>
      </c>
      <c r="K140" s="453">
        <v>0</v>
      </c>
      <c r="L140" s="647">
        <f t="shared" si="10"/>
        <v>11000</v>
      </c>
      <c r="M140" s="135">
        <v>11500</v>
      </c>
      <c r="N140" s="622">
        <v>-500</v>
      </c>
      <c r="O140" s="622">
        <f t="shared" si="8"/>
        <v>11000</v>
      </c>
      <c r="P140" s="135">
        <v>49000</v>
      </c>
      <c r="Q140" s="455">
        <v>0</v>
      </c>
      <c r="R140" s="453">
        <v>0</v>
      </c>
      <c r="S140" s="818">
        <v>0</v>
      </c>
      <c r="T140" s="455">
        <v>0</v>
      </c>
      <c r="U140" s="453">
        <v>0</v>
      </c>
      <c r="V140" s="454">
        <v>0</v>
      </c>
      <c r="W140" s="454">
        <v>0</v>
      </c>
      <c r="X140" s="818">
        <v>0</v>
      </c>
      <c r="Y140" s="392">
        <v>0</v>
      </c>
      <c r="Z140" s="292" t="s">
        <v>1905</v>
      </c>
      <c r="AA140" s="40" t="s">
        <v>10</v>
      </c>
      <c r="AB140" s="456" t="s">
        <v>1073</v>
      </c>
      <c r="AC140" s="789" t="s">
        <v>80</v>
      </c>
      <c r="AD140" s="114" t="s">
        <v>89</v>
      </c>
      <c r="AE140" s="948" t="s">
        <v>166</v>
      </c>
      <c r="AF140" s="948" t="s">
        <v>84</v>
      </c>
    </row>
    <row r="141" spans="1:32" ht="26.4" outlineLevel="1" x14ac:dyDescent="0.25">
      <c r="A141" s="446" t="s">
        <v>1358</v>
      </c>
      <c r="B141" s="458" t="s">
        <v>1635</v>
      </c>
      <c r="C141" s="1131" t="s">
        <v>1297</v>
      </c>
      <c r="D141" s="40" t="s">
        <v>1417</v>
      </c>
      <c r="E141" s="52" t="s">
        <v>14</v>
      </c>
      <c r="F141" s="40" t="s">
        <v>14</v>
      </c>
      <c r="G141" s="44">
        <v>80000</v>
      </c>
      <c r="H141" s="131">
        <v>0</v>
      </c>
      <c r="I141" s="1056">
        <v>0</v>
      </c>
      <c r="J141" s="1070">
        <v>607.41999999999996</v>
      </c>
      <c r="K141" s="453">
        <v>0</v>
      </c>
      <c r="L141" s="647">
        <f t="shared" si="10"/>
        <v>607.41999999999996</v>
      </c>
      <c r="M141" s="135">
        <v>1000</v>
      </c>
      <c r="N141" s="622">
        <v>-392.58000000000004</v>
      </c>
      <c r="O141" s="622">
        <f t="shared" si="8"/>
        <v>607.41999999999996</v>
      </c>
      <c r="P141" s="135">
        <f>50000-607.42</f>
        <v>49392.58</v>
      </c>
      <c r="Q141" s="455">
        <v>30000</v>
      </c>
      <c r="R141" s="453">
        <v>0</v>
      </c>
      <c r="S141" s="818">
        <v>0</v>
      </c>
      <c r="T141" s="455">
        <v>0</v>
      </c>
      <c r="U141" s="453">
        <v>0</v>
      </c>
      <c r="V141" s="454">
        <v>0</v>
      </c>
      <c r="W141" s="454">
        <v>0</v>
      </c>
      <c r="X141" s="818">
        <v>0</v>
      </c>
      <c r="Y141" s="392">
        <v>0</v>
      </c>
      <c r="Z141" s="292" t="s">
        <v>1949</v>
      </c>
      <c r="AA141" s="40" t="s">
        <v>8</v>
      </c>
      <c r="AB141" s="456" t="s">
        <v>1050</v>
      </c>
      <c r="AC141" s="789" t="s">
        <v>79</v>
      </c>
      <c r="AD141" s="114" t="s">
        <v>90</v>
      </c>
      <c r="AE141" s="948" t="s">
        <v>183</v>
      </c>
      <c r="AF141" s="948" t="s">
        <v>84</v>
      </c>
    </row>
    <row r="142" spans="1:32" ht="26.4" outlineLevel="1" x14ac:dyDescent="0.25">
      <c r="A142" s="446" t="s">
        <v>1359</v>
      </c>
      <c r="B142" s="458" t="s">
        <v>75</v>
      </c>
      <c r="C142" s="1131" t="s">
        <v>1298</v>
      </c>
      <c r="D142" s="40" t="s">
        <v>1417</v>
      </c>
      <c r="E142" s="52" t="s">
        <v>14</v>
      </c>
      <c r="F142" s="40" t="s">
        <v>14</v>
      </c>
      <c r="G142" s="44">
        <v>120000</v>
      </c>
      <c r="H142" s="131">
        <v>0</v>
      </c>
      <c r="I142" s="1056">
        <v>0</v>
      </c>
      <c r="J142" s="1070">
        <v>0</v>
      </c>
      <c r="K142" s="453">
        <v>0</v>
      </c>
      <c r="L142" s="647">
        <f t="shared" si="10"/>
        <v>1500</v>
      </c>
      <c r="M142" s="135">
        <v>30000</v>
      </c>
      <c r="N142" s="622">
        <v>-28500</v>
      </c>
      <c r="O142" s="622">
        <f t="shared" si="8"/>
        <v>1500</v>
      </c>
      <c r="P142" s="135">
        <v>70000</v>
      </c>
      <c r="Q142" s="455">
        <v>48500</v>
      </c>
      <c r="R142" s="453">
        <v>0</v>
      </c>
      <c r="S142" s="818">
        <v>0</v>
      </c>
      <c r="T142" s="455">
        <v>0</v>
      </c>
      <c r="U142" s="453">
        <v>0</v>
      </c>
      <c r="V142" s="454">
        <v>0</v>
      </c>
      <c r="W142" s="454">
        <v>0</v>
      </c>
      <c r="X142" s="818">
        <v>0</v>
      </c>
      <c r="Y142" s="392">
        <v>0</v>
      </c>
      <c r="Z142" s="292" t="s">
        <v>1950</v>
      </c>
      <c r="AA142" s="40" t="s">
        <v>10</v>
      </c>
      <c r="AB142" s="456" t="s">
        <v>382</v>
      </c>
      <c r="AC142" s="789" t="s">
        <v>80</v>
      </c>
      <c r="AD142" s="114" t="s">
        <v>89</v>
      </c>
      <c r="AE142" s="948" t="s">
        <v>930</v>
      </c>
      <c r="AF142" s="948" t="s">
        <v>84</v>
      </c>
    </row>
    <row r="143" spans="1:32" ht="26.4" outlineLevel="1" x14ac:dyDescent="0.25">
      <c r="A143" s="446" t="s">
        <v>1360</v>
      </c>
      <c r="B143" s="458" t="s">
        <v>75</v>
      </c>
      <c r="C143" s="1131" t="s">
        <v>1807</v>
      </c>
      <c r="D143" s="40" t="s">
        <v>1417</v>
      </c>
      <c r="E143" s="52" t="s">
        <v>14</v>
      </c>
      <c r="F143" s="40" t="s">
        <v>14</v>
      </c>
      <c r="G143" s="44">
        <v>70135</v>
      </c>
      <c r="H143" s="131">
        <v>0</v>
      </c>
      <c r="I143" s="1056">
        <v>0</v>
      </c>
      <c r="J143" s="1070">
        <v>25296.038130000001</v>
      </c>
      <c r="K143" s="453">
        <v>0</v>
      </c>
      <c r="L143" s="647">
        <f t="shared" si="10"/>
        <v>47900</v>
      </c>
      <c r="M143" s="135">
        <v>46000</v>
      </c>
      <c r="N143" s="622">
        <v>1900</v>
      </c>
      <c r="O143" s="622">
        <f t="shared" si="8"/>
        <v>47900</v>
      </c>
      <c r="P143" s="135">
        <f>15135+9000-1900</f>
        <v>22235</v>
      </c>
      <c r="Q143" s="455">
        <v>0</v>
      </c>
      <c r="R143" s="453">
        <v>0</v>
      </c>
      <c r="S143" s="818">
        <v>0</v>
      </c>
      <c r="T143" s="455">
        <v>0</v>
      </c>
      <c r="U143" s="453">
        <v>0</v>
      </c>
      <c r="V143" s="454">
        <v>0</v>
      </c>
      <c r="W143" s="454">
        <v>0</v>
      </c>
      <c r="X143" s="818">
        <v>0</v>
      </c>
      <c r="Y143" s="392">
        <v>0</v>
      </c>
      <c r="Z143" s="292" t="s">
        <v>1906</v>
      </c>
      <c r="AA143" s="40" t="s">
        <v>151</v>
      </c>
      <c r="AB143" s="456" t="s">
        <v>1311</v>
      </c>
      <c r="AC143" s="789" t="s">
        <v>80</v>
      </c>
      <c r="AD143" s="114" t="s">
        <v>89</v>
      </c>
      <c r="AE143" s="948" t="s">
        <v>167</v>
      </c>
      <c r="AF143" s="948" t="s">
        <v>84</v>
      </c>
    </row>
    <row r="144" spans="1:32" ht="26.4" outlineLevel="1" x14ac:dyDescent="0.25">
      <c r="A144" s="446" t="s">
        <v>1361</v>
      </c>
      <c r="B144" s="458" t="s">
        <v>1636</v>
      </c>
      <c r="C144" s="1131" t="s">
        <v>1299</v>
      </c>
      <c r="D144" s="40" t="s">
        <v>1417</v>
      </c>
      <c r="E144" s="52" t="s">
        <v>14</v>
      </c>
      <c r="F144" s="40" t="s">
        <v>14</v>
      </c>
      <c r="G144" s="44">
        <v>108208</v>
      </c>
      <c r="H144" s="131">
        <v>0</v>
      </c>
      <c r="I144" s="1056">
        <v>0</v>
      </c>
      <c r="J144" s="1070">
        <v>33334.644639999999</v>
      </c>
      <c r="K144" s="453">
        <v>0</v>
      </c>
      <c r="L144" s="647">
        <f t="shared" si="10"/>
        <v>102000</v>
      </c>
      <c r="M144" s="135">
        <v>70000</v>
      </c>
      <c r="N144" s="622">
        <v>32000</v>
      </c>
      <c r="O144" s="622">
        <f t="shared" si="8"/>
        <v>102000</v>
      </c>
      <c r="P144" s="135">
        <f>58208-20000-32000</f>
        <v>6208</v>
      </c>
      <c r="Q144" s="455">
        <v>0</v>
      </c>
      <c r="R144" s="453">
        <v>0</v>
      </c>
      <c r="S144" s="818">
        <v>0</v>
      </c>
      <c r="T144" s="455">
        <v>0</v>
      </c>
      <c r="U144" s="453">
        <v>0</v>
      </c>
      <c r="V144" s="454">
        <v>0</v>
      </c>
      <c r="W144" s="454">
        <v>0</v>
      </c>
      <c r="X144" s="818">
        <v>0</v>
      </c>
      <c r="Y144" s="392">
        <v>0</v>
      </c>
      <c r="Z144" s="292" t="s">
        <v>1907</v>
      </c>
      <c r="AA144" s="40" t="s">
        <v>10</v>
      </c>
      <c r="AB144" s="49" t="s">
        <v>1073</v>
      </c>
      <c r="AC144" s="789" t="s">
        <v>80</v>
      </c>
      <c r="AD144" s="114" t="s">
        <v>89</v>
      </c>
      <c r="AE144" s="948" t="s">
        <v>167</v>
      </c>
      <c r="AF144" s="948" t="s">
        <v>84</v>
      </c>
    </row>
    <row r="145" spans="1:32" ht="26.4" outlineLevel="1" x14ac:dyDescent="0.25">
      <c r="A145" s="446" t="s">
        <v>1362</v>
      </c>
      <c r="B145" s="458" t="s">
        <v>75</v>
      </c>
      <c r="C145" s="1131" t="s">
        <v>1300</v>
      </c>
      <c r="D145" s="40" t="s">
        <v>1417</v>
      </c>
      <c r="E145" s="52" t="s">
        <v>14</v>
      </c>
      <c r="F145" s="40" t="s">
        <v>14</v>
      </c>
      <c r="G145" s="44">
        <v>150000</v>
      </c>
      <c r="H145" s="131">
        <v>0</v>
      </c>
      <c r="I145" s="1056">
        <v>0</v>
      </c>
      <c r="J145" s="1070">
        <v>0</v>
      </c>
      <c r="K145" s="453">
        <v>0</v>
      </c>
      <c r="L145" s="647">
        <f t="shared" si="10"/>
        <v>0</v>
      </c>
      <c r="M145" s="135">
        <v>5000</v>
      </c>
      <c r="N145" s="622">
        <v>-5000</v>
      </c>
      <c r="O145" s="622">
        <f t="shared" si="8"/>
        <v>0</v>
      </c>
      <c r="P145" s="135">
        <v>70000</v>
      </c>
      <c r="Q145" s="455">
        <v>80000</v>
      </c>
      <c r="R145" s="453">
        <v>0</v>
      </c>
      <c r="S145" s="818">
        <v>0</v>
      </c>
      <c r="T145" s="455">
        <v>0</v>
      </c>
      <c r="U145" s="453">
        <v>0</v>
      </c>
      <c r="V145" s="454">
        <v>0</v>
      </c>
      <c r="W145" s="454">
        <v>0</v>
      </c>
      <c r="X145" s="818">
        <v>0</v>
      </c>
      <c r="Y145" s="392">
        <v>0</v>
      </c>
      <c r="Z145" s="292" t="s">
        <v>1890</v>
      </c>
      <c r="AA145" s="40" t="s">
        <v>6</v>
      </c>
      <c r="AB145" s="456" t="s">
        <v>1237</v>
      </c>
      <c r="AC145" s="789" t="s">
        <v>79</v>
      </c>
      <c r="AD145" s="114" t="s">
        <v>90</v>
      </c>
      <c r="AE145" s="948" t="s">
        <v>180</v>
      </c>
      <c r="AF145" s="948" t="s">
        <v>84</v>
      </c>
    </row>
    <row r="146" spans="1:32" ht="26.4" outlineLevel="1" x14ac:dyDescent="0.25">
      <c r="A146" s="446" t="s">
        <v>1363</v>
      </c>
      <c r="B146" s="458" t="s">
        <v>1644</v>
      </c>
      <c r="C146" s="1131" t="s">
        <v>1301</v>
      </c>
      <c r="D146" s="40" t="s">
        <v>1417</v>
      </c>
      <c r="E146" s="52" t="s">
        <v>14</v>
      </c>
      <c r="F146" s="40" t="s">
        <v>14</v>
      </c>
      <c r="G146" s="44">
        <v>50900</v>
      </c>
      <c r="H146" s="131">
        <v>0</v>
      </c>
      <c r="I146" s="1056">
        <v>0</v>
      </c>
      <c r="J146" s="1070">
        <v>1232.5277900000001</v>
      </c>
      <c r="K146" s="453">
        <v>0</v>
      </c>
      <c r="L146" s="647">
        <f t="shared" si="10"/>
        <v>41000</v>
      </c>
      <c r="M146" s="135">
        <v>35000</v>
      </c>
      <c r="N146" s="622">
        <v>6000</v>
      </c>
      <c r="O146" s="622">
        <f t="shared" si="8"/>
        <v>41000</v>
      </c>
      <c r="P146" s="135">
        <f>15900-6000</f>
        <v>9900</v>
      </c>
      <c r="Q146" s="455">
        <v>0</v>
      </c>
      <c r="R146" s="453">
        <v>0</v>
      </c>
      <c r="S146" s="818">
        <v>0</v>
      </c>
      <c r="T146" s="455">
        <v>0</v>
      </c>
      <c r="U146" s="453">
        <v>0</v>
      </c>
      <c r="V146" s="454">
        <v>0</v>
      </c>
      <c r="W146" s="454">
        <v>0</v>
      </c>
      <c r="X146" s="818">
        <v>0</v>
      </c>
      <c r="Y146" s="392">
        <v>0</v>
      </c>
      <c r="Z146" s="291" t="s">
        <v>1908</v>
      </c>
      <c r="AA146" s="40" t="s">
        <v>10</v>
      </c>
      <c r="AB146" s="456" t="s">
        <v>1073</v>
      </c>
      <c r="AC146" s="789" t="s">
        <v>80</v>
      </c>
      <c r="AD146" s="114" t="s">
        <v>89</v>
      </c>
      <c r="AE146" s="948" t="s">
        <v>169</v>
      </c>
      <c r="AF146" s="948" t="s">
        <v>84</v>
      </c>
    </row>
    <row r="147" spans="1:32" ht="26.4" outlineLevel="1" x14ac:dyDescent="0.25">
      <c r="A147" s="446" t="s">
        <v>1364</v>
      </c>
      <c r="B147" s="458" t="s">
        <v>75</v>
      </c>
      <c r="C147" s="1131" t="s">
        <v>1302</v>
      </c>
      <c r="D147" s="40" t="s">
        <v>1417</v>
      </c>
      <c r="E147" s="52" t="s">
        <v>14</v>
      </c>
      <c r="F147" s="40" t="s">
        <v>14</v>
      </c>
      <c r="G147" s="44">
        <v>15985</v>
      </c>
      <c r="H147" s="131">
        <v>0</v>
      </c>
      <c r="I147" s="1056">
        <v>0</v>
      </c>
      <c r="J147" s="1070">
        <v>0</v>
      </c>
      <c r="K147" s="453">
        <v>0</v>
      </c>
      <c r="L147" s="647">
        <f t="shared" si="10"/>
        <v>0</v>
      </c>
      <c r="M147" s="135">
        <v>11000</v>
      </c>
      <c r="N147" s="622">
        <v>-11000</v>
      </c>
      <c r="O147" s="622">
        <f t="shared" si="8"/>
        <v>0</v>
      </c>
      <c r="P147" s="135">
        <f>4985+11000</f>
        <v>15985</v>
      </c>
      <c r="Q147" s="455">
        <v>0</v>
      </c>
      <c r="R147" s="453">
        <v>0</v>
      </c>
      <c r="S147" s="818">
        <v>0</v>
      </c>
      <c r="T147" s="455">
        <v>0</v>
      </c>
      <c r="U147" s="453">
        <v>0</v>
      </c>
      <c r="V147" s="454">
        <v>0</v>
      </c>
      <c r="W147" s="454">
        <v>0</v>
      </c>
      <c r="X147" s="818">
        <v>0</v>
      </c>
      <c r="Y147" s="392">
        <v>0</v>
      </c>
      <c r="Z147" s="292" t="s">
        <v>1909</v>
      </c>
      <c r="AA147" s="40" t="s">
        <v>10</v>
      </c>
      <c r="AB147" s="456" t="s">
        <v>1050</v>
      </c>
      <c r="AC147" s="789" t="s">
        <v>80</v>
      </c>
      <c r="AD147" s="114" t="s">
        <v>89</v>
      </c>
      <c r="AE147" s="948" t="s">
        <v>167</v>
      </c>
      <c r="AF147" s="948" t="s">
        <v>84</v>
      </c>
    </row>
    <row r="148" spans="1:32" ht="26.4" outlineLevel="1" x14ac:dyDescent="0.25">
      <c r="A148" s="446" t="s">
        <v>1365</v>
      </c>
      <c r="B148" s="458" t="s">
        <v>75</v>
      </c>
      <c r="C148" s="1131" t="s">
        <v>1534</v>
      </c>
      <c r="D148" s="40" t="s">
        <v>1417</v>
      </c>
      <c r="E148" s="52" t="s">
        <v>14</v>
      </c>
      <c r="F148" s="40" t="s">
        <v>14</v>
      </c>
      <c r="G148" s="44">
        <v>7000</v>
      </c>
      <c r="H148" s="131">
        <v>0</v>
      </c>
      <c r="I148" s="1056">
        <v>0</v>
      </c>
      <c r="J148" s="1070">
        <v>0</v>
      </c>
      <c r="K148" s="453">
        <v>0</v>
      </c>
      <c r="L148" s="647">
        <f t="shared" si="10"/>
        <v>0</v>
      </c>
      <c r="M148" s="135">
        <v>500</v>
      </c>
      <c r="N148" s="622">
        <v>-500</v>
      </c>
      <c r="O148" s="622">
        <f t="shared" si="8"/>
        <v>0</v>
      </c>
      <c r="P148" s="135">
        <v>7000</v>
      </c>
      <c r="Q148" s="455">
        <v>0</v>
      </c>
      <c r="R148" s="453">
        <v>0</v>
      </c>
      <c r="S148" s="818">
        <v>0</v>
      </c>
      <c r="T148" s="455">
        <v>0</v>
      </c>
      <c r="U148" s="453">
        <v>0</v>
      </c>
      <c r="V148" s="454">
        <v>0</v>
      </c>
      <c r="W148" s="454">
        <v>0</v>
      </c>
      <c r="X148" s="818">
        <v>0</v>
      </c>
      <c r="Y148" s="392">
        <v>0</v>
      </c>
      <c r="Z148" s="292" t="s">
        <v>1905</v>
      </c>
      <c r="AA148" s="40" t="s">
        <v>6</v>
      </c>
      <c r="AB148" s="456" t="s">
        <v>1390</v>
      </c>
      <c r="AC148" s="789" t="s">
        <v>79</v>
      </c>
      <c r="AD148" s="114" t="s">
        <v>89</v>
      </c>
      <c r="AE148" s="948" t="s">
        <v>185</v>
      </c>
      <c r="AF148" s="948" t="s">
        <v>84</v>
      </c>
    </row>
    <row r="149" spans="1:32" ht="31.2" outlineLevel="1" x14ac:dyDescent="0.25">
      <c r="A149" s="694" t="s">
        <v>1366</v>
      </c>
      <c r="B149" s="1100" t="s">
        <v>75</v>
      </c>
      <c r="C149" s="1132" t="s">
        <v>1303</v>
      </c>
      <c r="D149" s="411" t="s">
        <v>1417</v>
      </c>
      <c r="E149" s="216" t="s">
        <v>14</v>
      </c>
      <c r="F149" s="411" t="s">
        <v>14</v>
      </c>
      <c r="G149" s="1133">
        <f>22311+62+1027+2100</f>
        <v>25500</v>
      </c>
      <c r="H149" s="1134">
        <v>0</v>
      </c>
      <c r="I149" s="1135">
        <v>0</v>
      </c>
      <c r="J149" s="1136">
        <v>0</v>
      </c>
      <c r="K149" s="1040">
        <v>0</v>
      </c>
      <c r="L149" s="1137">
        <f t="shared" si="10"/>
        <v>0</v>
      </c>
      <c r="M149" s="702">
        <v>23400</v>
      </c>
      <c r="N149" s="703">
        <v>-23400</v>
      </c>
      <c r="O149" s="703">
        <f t="shared" si="8"/>
        <v>0</v>
      </c>
      <c r="P149" s="702">
        <v>25500</v>
      </c>
      <c r="Q149" s="1039">
        <v>0</v>
      </c>
      <c r="R149" s="1040">
        <v>0</v>
      </c>
      <c r="S149" s="1041">
        <v>0</v>
      </c>
      <c r="T149" s="1039">
        <v>0</v>
      </c>
      <c r="U149" s="1040">
        <v>0</v>
      </c>
      <c r="V149" s="1138">
        <v>0</v>
      </c>
      <c r="W149" s="1138">
        <v>0</v>
      </c>
      <c r="X149" s="1041">
        <v>0</v>
      </c>
      <c r="Y149" s="1139">
        <v>0</v>
      </c>
      <c r="Z149" s="293" t="s">
        <v>1951</v>
      </c>
      <c r="AA149" s="411" t="s">
        <v>6</v>
      </c>
      <c r="AB149" s="1140" t="s">
        <v>1390</v>
      </c>
      <c r="AC149" s="1141" t="s">
        <v>79</v>
      </c>
      <c r="AD149" s="284" t="s">
        <v>90</v>
      </c>
      <c r="AE149" s="551" t="s">
        <v>173</v>
      </c>
      <c r="AF149" s="551" t="s">
        <v>84</v>
      </c>
    </row>
    <row r="150" spans="1:32" ht="26.4" outlineLevel="1" x14ac:dyDescent="0.25">
      <c r="A150" s="446" t="s">
        <v>1367</v>
      </c>
      <c r="B150" s="458" t="s">
        <v>1630</v>
      </c>
      <c r="C150" s="1131" t="s">
        <v>1304</v>
      </c>
      <c r="D150" s="40" t="s">
        <v>1417</v>
      </c>
      <c r="E150" s="52" t="s">
        <v>14</v>
      </c>
      <c r="F150" s="40" t="s">
        <v>14</v>
      </c>
      <c r="G150" s="44">
        <v>60394</v>
      </c>
      <c r="H150" s="131">
        <v>0</v>
      </c>
      <c r="I150" s="1056">
        <v>0</v>
      </c>
      <c r="J150" s="1070">
        <v>8747.7104799999997</v>
      </c>
      <c r="K150" s="453">
        <v>0</v>
      </c>
      <c r="L150" s="647">
        <f t="shared" si="10"/>
        <v>33200</v>
      </c>
      <c r="M150" s="135">
        <v>30000</v>
      </c>
      <c r="N150" s="622">
        <v>3200</v>
      </c>
      <c r="O150" s="622">
        <f t="shared" si="8"/>
        <v>33200</v>
      </c>
      <c r="P150" s="135">
        <f>16694-3200</f>
        <v>13494</v>
      </c>
      <c r="Q150" s="455">
        <v>0</v>
      </c>
      <c r="R150" s="453">
        <v>0</v>
      </c>
      <c r="S150" s="818">
        <v>13700</v>
      </c>
      <c r="T150" s="455">
        <v>0</v>
      </c>
      <c r="U150" s="453">
        <v>0</v>
      </c>
      <c r="V150" s="454">
        <v>0</v>
      </c>
      <c r="W150" s="454">
        <v>0</v>
      </c>
      <c r="X150" s="818">
        <v>0</v>
      </c>
      <c r="Y150" s="392">
        <v>0</v>
      </c>
      <c r="Z150" s="292" t="s">
        <v>1910</v>
      </c>
      <c r="AA150" s="40" t="s">
        <v>10</v>
      </c>
      <c r="AB150" s="456" t="s">
        <v>382</v>
      </c>
      <c r="AC150" s="789" t="s">
        <v>80</v>
      </c>
      <c r="AD150" s="114" t="s">
        <v>88</v>
      </c>
      <c r="AE150" s="948" t="s">
        <v>166</v>
      </c>
      <c r="AF150" s="948" t="s">
        <v>84</v>
      </c>
    </row>
    <row r="151" spans="1:32" ht="31.2" outlineLevel="1" x14ac:dyDescent="0.25">
      <c r="A151" s="446" t="s">
        <v>1368</v>
      </c>
      <c r="B151" s="458" t="s">
        <v>1631</v>
      </c>
      <c r="C151" s="1131" t="s">
        <v>1305</v>
      </c>
      <c r="D151" s="40" t="s">
        <v>1417</v>
      </c>
      <c r="E151" s="52" t="s">
        <v>14</v>
      </c>
      <c r="F151" s="40" t="s">
        <v>14</v>
      </c>
      <c r="G151" s="44">
        <v>130335</v>
      </c>
      <c r="H151" s="131">
        <v>0</v>
      </c>
      <c r="I151" s="1056">
        <v>0</v>
      </c>
      <c r="J151" s="1070">
        <v>34347.788270000005</v>
      </c>
      <c r="K151" s="453">
        <v>0</v>
      </c>
      <c r="L151" s="647">
        <f t="shared" si="10"/>
        <v>78400</v>
      </c>
      <c r="M151" s="135">
        <v>71106</v>
      </c>
      <c r="N151" s="622">
        <v>7294</v>
      </c>
      <c r="O151" s="622">
        <f t="shared" si="8"/>
        <v>78400</v>
      </c>
      <c r="P151" s="135">
        <f>59229-7294</f>
        <v>51935</v>
      </c>
      <c r="Q151" s="455">
        <v>0</v>
      </c>
      <c r="R151" s="453">
        <v>0</v>
      </c>
      <c r="S151" s="818">
        <v>0</v>
      </c>
      <c r="T151" s="455">
        <v>0</v>
      </c>
      <c r="U151" s="453">
        <v>0</v>
      </c>
      <c r="V151" s="454">
        <v>0</v>
      </c>
      <c r="W151" s="454">
        <v>0</v>
      </c>
      <c r="X151" s="818">
        <v>0</v>
      </c>
      <c r="Y151" s="392">
        <v>0</v>
      </c>
      <c r="Z151" s="292" t="s">
        <v>1911</v>
      </c>
      <c r="AA151" s="40" t="s">
        <v>10</v>
      </c>
      <c r="AB151" s="456" t="s">
        <v>382</v>
      </c>
      <c r="AC151" s="789" t="s">
        <v>80</v>
      </c>
      <c r="AD151" s="114" t="s">
        <v>88</v>
      </c>
      <c r="AE151" s="948" t="s">
        <v>560</v>
      </c>
      <c r="AF151" s="948" t="s">
        <v>84</v>
      </c>
    </row>
    <row r="152" spans="1:32" ht="27" outlineLevel="1" thickBot="1" x14ac:dyDescent="0.3">
      <c r="A152" s="226" t="s">
        <v>1369</v>
      </c>
      <c r="B152" s="1659" t="s">
        <v>75</v>
      </c>
      <c r="C152" s="1771" t="s">
        <v>1306</v>
      </c>
      <c r="D152" s="1661" t="s">
        <v>1417</v>
      </c>
      <c r="E152" s="1662" t="s">
        <v>14</v>
      </c>
      <c r="F152" s="1661" t="s">
        <v>14</v>
      </c>
      <c r="G152" s="1719">
        <v>24500</v>
      </c>
      <c r="H152" s="1213">
        <v>0</v>
      </c>
      <c r="I152" s="1214">
        <v>0</v>
      </c>
      <c r="J152" s="1215">
        <v>0</v>
      </c>
      <c r="K152" s="1273">
        <v>0</v>
      </c>
      <c r="L152" s="1217">
        <f t="shared" si="10"/>
        <v>24500</v>
      </c>
      <c r="M152" s="1218">
        <v>24500</v>
      </c>
      <c r="N152" s="224">
        <v>0</v>
      </c>
      <c r="O152" s="1619">
        <f t="shared" si="8"/>
        <v>24500</v>
      </c>
      <c r="P152" s="1218">
        <v>0</v>
      </c>
      <c r="Q152" s="1620">
        <v>0</v>
      </c>
      <c r="R152" s="1273">
        <v>0</v>
      </c>
      <c r="S152" s="2018">
        <v>0</v>
      </c>
      <c r="T152" s="1620">
        <v>0</v>
      </c>
      <c r="U152" s="1273">
        <v>0</v>
      </c>
      <c r="V152" s="1216">
        <v>0</v>
      </c>
      <c r="W152" s="1216">
        <v>0</v>
      </c>
      <c r="X152" s="2018">
        <v>0</v>
      </c>
      <c r="Y152" s="1620">
        <v>0</v>
      </c>
      <c r="Z152" s="2094"/>
      <c r="AA152" s="1661" t="s">
        <v>151</v>
      </c>
      <c r="AB152" s="72" t="s">
        <v>1073</v>
      </c>
      <c r="AC152" s="2025" t="s">
        <v>80</v>
      </c>
      <c r="AD152" s="15" t="s">
        <v>89</v>
      </c>
      <c r="AE152" s="1663" t="s">
        <v>560</v>
      </c>
      <c r="AF152" s="1663" t="s">
        <v>84</v>
      </c>
    </row>
    <row r="153" spans="1:32" ht="26.4" outlineLevel="1" x14ac:dyDescent="0.25">
      <c r="A153" s="446" t="s">
        <v>1391</v>
      </c>
      <c r="B153" s="447" t="s">
        <v>75</v>
      </c>
      <c r="C153" s="1131" t="s">
        <v>1392</v>
      </c>
      <c r="D153" s="40" t="s">
        <v>1513</v>
      </c>
      <c r="E153" s="52" t="s">
        <v>14</v>
      </c>
      <c r="F153" s="40" t="s">
        <v>14</v>
      </c>
      <c r="G153" s="44">
        <v>522000</v>
      </c>
      <c r="H153" s="131">
        <v>0</v>
      </c>
      <c r="I153" s="1056">
        <v>0</v>
      </c>
      <c r="J153" s="1070">
        <v>0</v>
      </c>
      <c r="K153" s="453">
        <v>0</v>
      </c>
      <c r="L153" s="647">
        <f t="shared" si="10"/>
        <v>0</v>
      </c>
      <c r="M153" s="135">
        <v>350</v>
      </c>
      <c r="N153" s="622">
        <v>-350</v>
      </c>
      <c r="O153" s="622">
        <f t="shared" si="8"/>
        <v>0</v>
      </c>
      <c r="P153" s="135">
        <v>100000</v>
      </c>
      <c r="Q153" s="455">
        <v>422000</v>
      </c>
      <c r="R153" s="453">
        <v>0</v>
      </c>
      <c r="S153" s="818">
        <v>0</v>
      </c>
      <c r="T153" s="455">
        <v>0</v>
      </c>
      <c r="U153" s="453">
        <v>0</v>
      </c>
      <c r="V153" s="454">
        <v>0</v>
      </c>
      <c r="W153" s="454">
        <v>0</v>
      </c>
      <c r="X153" s="818">
        <v>0</v>
      </c>
      <c r="Y153" s="455">
        <v>0</v>
      </c>
      <c r="Z153" s="291" t="s">
        <v>1952</v>
      </c>
      <c r="AA153" s="40" t="s">
        <v>6</v>
      </c>
      <c r="AB153" s="113" t="s">
        <v>735</v>
      </c>
      <c r="AC153" s="789" t="s">
        <v>79</v>
      </c>
      <c r="AD153" s="114" t="s">
        <v>89</v>
      </c>
      <c r="AE153" s="948" t="s">
        <v>178</v>
      </c>
      <c r="AF153" s="948" t="s">
        <v>84</v>
      </c>
    </row>
    <row r="154" spans="1:32" ht="31.2" outlineLevel="1" x14ac:dyDescent="0.25">
      <c r="A154" s="683" t="s">
        <v>1393</v>
      </c>
      <c r="B154" s="1732" t="s">
        <v>1629</v>
      </c>
      <c r="C154" s="1772" t="s">
        <v>1394</v>
      </c>
      <c r="D154" s="1734" t="s">
        <v>1513</v>
      </c>
      <c r="E154" s="1739" t="s">
        <v>14</v>
      </c>
      <c r="F154" s="1734" t="s">
        <v>14</v>
      </c>
      <c r="G154" s="1751">
        <f>11920+5580</f>
        <v>17500</v>
      </c>
      <c r="H154" s="1297">
        <v>0</v>
      </c>
      <c r="I154" s="1298">
        <v>0</v>
      </c>
      <c r="J154" s="1299">
        <v>361.79</v>
      </c>
      <c r="K154" s="1300">
        <v>0</v>
      </c>
      <c r="L154" s="1301">
        <f t="shared" si="10"/>
        <v>361.79000000000087</v>
      </c>
      <c r="M154" s="1302">
        <v>11920</v>
      </c>
      <c r="N154" s="1111">
        <v>-11558.21</v>
      </c>
      <c r="O154" s="2114">
        <f t="shared" si="8"/>
        <v>361.79000000000087</v>
      </c>
      <c r="P154" s="1302">
        <f>17500-361.79</f>
        <v>17138.21</v>
      </c>
      <c r="Q154" s="2144">
        <v>0</v>
      </c>
      <c r="R154" s="1300">
        <v>0</v>
      </c>
      <c r="S154" s="2129">
        <v>0</v>
      </c>
      <c r="T154" s="2144">
        <v>0</v>
      </c>
      <c r="U154" s="1286">
        <v>0</v>
      </c>
      <c r="V154" s="2117">
        <v>0</v>
      </c>
      <c r="W154" s="2117">
        <v>0</v>
      </c>
      <c r="X154" s="2115">
        <v>0</v>
      </c>
      <c r="Y154" s="2116">
        <v>0</v>
      </c>
      <c r="Z154" s="2118" t="s">
        <v>1953</v>
      </c>
      <c r="AA154" s="1734" t="s">
        <v>8</v>
      </c>
      <c r="AB154" s="2120" t="s">
        <v>1390</v>
      </c>
      <c r="AC154" s="2145" t="s">
        <v>79</v>
      </c>
      <c r="AD154" s="2119" t="s">
        <v>90</v>
      </c>
      <c r="AE154" s="2132" t="s">
        <v>177</v>
      </c>
      <c r="AF154" s="2132" t="s">
        <v>84</v>
      </c>
    </row>
    <row r="155" spans="1:32" ht="26.4" outlineLevel="1" x14ac:dyDescent="0.25">
      <c r="A155" s="401" t="s">
        <v>1395</v>
      </c>
      <c r="B155" s="1773" t="s">
        <v>1637</v>
      </c>
      <c r="C155" s="1774" t="s">
        <v>1396</v>
      </c>
      <c r="D155" s="1775" t="s">
        <v>1513</v>
      </c>
      <c r="E155" s="1776" t="s">
        <v>14</v>
      </c>
      <c r="F155" s="1775" t="s">
        <v>14</v>
      </c>
      <c r="G155" s="1777">
        <v>108.961</v>
      </c>
      <c r="H155" s="1321">
        <v>0</v>
      </c>
      <c r="I155" s="1322">
        <v>0</v>
      </c>
      <c r="J155" s="1323">
        <v>108.961</v>
      </c>
      <c r="K155" s="1324">
        <v>0</v>
      </c>
      <c r="L155" s="1325">
        <f t="shared" si="10"/>
        <v>108.961</v>
      </c>
      <c r="M155" s="1326">
        <v>0</v>
      </c>
      <c r="N155" s="400">
        <v>108.961</v>
      </c>
      <c r="O155" s="2146">
        <f t="shared" ref="O155:O218" si="11">M155+N155</f>
        <v>108.961</v>
      </c>
      <c r="P155" s="1326">
        <v>0</v>
      </c>
      <c r="Q155" s="2147">
        <v>0</v>
      </c>
      <c r="R155" s="1324">
        <v>0</v>
      </c>
      <c r="S155" s="2148">
        <f>11045-11045</f>
        <v>0</v>
      </c>
      <c r="T155" s="2147">
        <v>0</v>
      </c>
      <c r="U155" s="2149">
        <v>0</v>
      </c>
      <c r="V155" s="2150">
        <v>0</v>
      </c>
      <c r="W155" s="2150">
        <v>0</v>
      </c>
      <c r="X155" s="2151">
        <v>0</v>
      </c>
      <c r="Y155" s="2152">
        <v>0</v>
      </c>
      <c r="Z155" s="2153" t="s">
        <v>1954</v>
      </c>
      <c r="AA155" s="1775" t="s">
        <v>83</v>
      </c>
      <c r="AB155" s="2154" t="s">
        <v>1074</v>
      </c>
      <c r="AC155" s="2155" t="s">
        <v>79</v>
      </c>
      <c r="AD155" s="2156" t="s">
        <v>90</v>
      </c>
      <c r="AE155" s="2157" t="s">
        <v>179</v>
      </c>
      <c r="AF155" s="2157" t="s">
        <v>84</v>
      </c>
    </row>
    <row r="156" spans="1:32" ht="31.2" outlineLevel="1" x14ac:dyDescent="0.25">
      <c r="A156" s="683" t="s">
        <v>1397</v>
      </c>
      <c r="B156" s="1732" t="s">
        <v>1639</v>
      </c>
      <c r="C156" s="1772" t="s">
        <v>1398</v>
      </c>
      <c r="D156" s="1734" t="s">
        <v>1513</v>
      </c>
      <c r="E156" s="1739" t="s">
        <v>14</v>
      </c>
      <c r="F156" s="1734" t="s">
        <v>14</v>
      </c>
      <c r="G156" s="1751">
        <f>5521+479</f>
        <v>6000</v>
      </c>
      <c r="H156" s="1297">
        <v>0</v>
      </c>
      <c r="I156" s="1298">
        <v>0</v>
      </c>
      <c r="J156" s="1299">
        <v>2789.5503600000002</v>
      </c>
      <c r="K156" s="1300">
        <v>0</v>
      </c>
      <c r="L156" s="1301">
        <f t="shared" si="10"/>
        <v>6000</v>
      </c>
      <c r="M156" s="1302">
        <v>5521</v>
      </c>
      <c r="N156" s="1111">
        <v>479</v>
      </c>
      <c r="O156" s="2114">
        <f t="shared" si="11"/>
        <v>6000</v>
      </c>
      <c r="P156" s="1302">
        <v>0</v>
      </c>
      <c r="Q156" s="2144">
        <v>0</v>
      </c>
      <c r="R156" s="1300">
        <v>0</v>
      </c>
      <c r="S156" s="2129">
        <v>0</v>
      </c>
      <c r="T156" s="2144">
        <v>0</v>
      </c>
      <c r="U156" s="1286">
        <v>0</v>
      </c>
      <c r="V156" s="2117">
        <v>0</v>
      </c>
      <c r="W156" s="2117">
        <v>0</v>
      </c>
      <c r="X156" s="2115">
        <v>0</v>
      </c>
      <c r="Y156" s="2116">
        <v>0</v>
      </c>
      <c r="Z156" s="1759" t="s">
        <v>1955</v>
      </c>
      <c r="AA156" s="1734" t="s">
        <v>151</v>
      </c>
      <c r="AB156" s="2120" t="s">
        <v>382</v>
      </c>
      <c r="AC156" s="2145" t="s">
        <v>80</v>
      </c>
      <c r="AD156" s="2119" t="s">
        <v>89</v>
      </c>
      <c r="AE156" s="2132" t="s">
        <v>166</v>
      </c>
      <c r="AF156" s="2132" t="s">
        <v>84</v>
      </c>
    </row>
    <row r="157" spans="1:32" ht="31.2" outlineLevel="1" x14ac:dyDescent="0.25">
      <c r="A157" s="446" t="s">
        <v>1399</v>
      </c>
      <c r="B157" s="458" t="s">
        <v>75</v>
      </c>
      <c r="C157" s="1131" t="s">
        <v>1400</v>
      </c>
      <c r="D157" s="40" t="s">
        <v>1513</v>
      </c>
      <c r="E157" s="52" t="s">
        <v>14</v>
      </c>
      <c r="F157" s="40" t="s">
        <v>14</v>
      </c>
      <c r="G157" s="44">
        <v>32434</v>
      </c>
      <c r="H157" s="131">
        <v>0</v>
      </c>
      <c r="I157" s="1056">
        <v>0</v>
      </c>
      <c r="J157" s="1070">
        <v>0</v>
      </c>
      <c r="K157" s="453">
        <v>0</v>
      </c>
      <c r="L157" s="647">
        <f t="shared" si="10"/>
        <v>2900</v>
      </c>
      <c r="M157" s="135">
        <v>32434</v>
      </c>
      <c r="N157" s="622">
        <v>-29534</v>
      </c>
      <c r="O157" s="622">
        <f t="shared" si="11"/>
        <v>2900</v>
      </c>
      <c r="P157" s="135">
        <v>29534</v>
      </c>
      <c r="Q157" s="455">
        <v>0</v>
      </c>
      <c r="R157" s="453">
        <v>0</v>
      </c>
      <c r="S157" s="818">
        <v>0</v>
      </c>
      <c r="T157" s="455">
        <v>0</v>
      </c>
      <c r="U157" s="463">
        <v>0</v>
      </c>
      <c r="V157" s="464">
        <v>0</v>
      </c>
      <c r="W157" s="464">
        <v>0</v>
      </c>
      <c r="X157" s="820">
        <v>0</v>
      </c>
      <c r="Y157" s="465">
        <v>0</v>
      </c>
      <c r="Z157" s="291" t="s">
        <v>1912</v>
      </c>
      <c r="AA157" s="40" t="s">
        <v>10</v>
      </c>
      <c r="AB157" s="49" t="s">
        <v>382</v>
      </c>
      <c r="AC157" s="789" t="s">
        <v>80</v>
      </c>
      <c r="AD157" s="114" t="s">
        <v>89</v>
      </c>
      <c r="AE157" s="948" t="s">
        <v>241</v>
      </c>
      <c r="AF157" s="948" t="s">
        <v>84</v>
      </c>
    </row>
    <row r="158" spans="1:32" ht="31.2" outlineLevel="1" x14ac:dyDescent="0.25">
      <c r="A158" s="446" t="s">
        <v>1401</v>
      </c>
      <c r="B158" s="458" t="s">
        <v>75</v>
      </c>
      <c r="C158" s="1131" t="s">
        <v>1402</v>
      </c>
      <c r="D158" s="40" t="s">
        <v>1513</v>
      </c>
      <c r="E158" s="52" t="s">
        <v>14</v>
      </c>
      <c r="F158" s="40" t="s">
        <v>14</v>
      </c>
      <c r="G158" s="44">
        <v>18180</v>
      </c>
      <c r="H158" s="131">
        <v>0</v>
      </c>
      <c r="I158" s="1056">
        <v>0</v>
      </c>
      <c r="J158" s="1070">
        <v>0</v>
      </c>
      <c r="K158" s="453">
        <v>0</v>
      </c>
      <c r="L158" s="647">
        <f t="shared" si="10"/>
        <v>0</v>
      </c>
      <c r="M158" s="135">
        <v>18180</v>
      </c>
      <c r="N158" s="622">
        <v>-18180</v>
      </c>
      <c r="O158" s="622">
        <f t="shared" si="11"/>
        <v>0</v>
      </c>
      <c r="P158" s="135">
        <v>18180</v>
      </c>
      <c r="Q158" s="455">
        <v>0</v>
      </c>
      <c r="R158" s="453">
        <v>0</v>
      </c>
      <c r="S158" s="818">
        <v>0</v>
      </c>
      <c r="T158" s="455">
        <v>0</v>
      </c>
      <c r="U158" s="463">
        <v>0</v>
      </c>
      <c r="V158" s="464">
        <v>0</v>
      </c>
      <c r="W158" s="464">
        <v>0</v>
      </c>
      <c r="X158" s="820">
        <v>0</v>
      </c>
      <c r="Y158" s="465">
        <v>0</v>
      </c>
      <c r="Z158" s="291" t="s">
        <v>1913</v>
      </c>
      <c r="AA158" s="40" t="s">
        <v>6</v>
      </c>
      <c r="AB158" s="49" t="s">
        <v>1390</v>
      </c>
      <c r="AC158" s="789" t="s">
        <v>79</v>
      </c>
      <c r="AD158" s="114" t="s">
        <v>89</v>
      </c>
      <c r="AE158" s="948" t="s">
        <v>178</v>
      </c>
      <c r="AF158" s="948" t="s">
        <v>84</v>
      </c>
    </row>
    <row r="159" spans="1:32" ht="31.2" outlineLevel="1" x14ac:dyDescent="0.25">
      <c r="A159" s="446" t="s">
        <v>1403</v>
      </c>
      <c r="B159" s="458" t="s">
        <v>75</v>
      </c>
      <c r="C159" s="1131" t="s">
        <v>1404</v>
      </c>
      <c r="D159" s="40" t="s">
        <v>1513</v>
      </c>
      <c r="E159" s="52" t="s">
        <v>14</v>
      </c>
      <c r="F159" s="40" t="s">
        <v>14</v>
      </c>
      <c r="G159" s="44">
        <v>11478</v>
      </c>
      <c r="H159" s="131">
        <v>0</v>
      </c>
      <c r="I159" s="1056">
        <v>0</v>
      </c>
      <c r="J159" s="1070">
        <v>0</v>
      </c>
      <c r="K159" s="453">
        <v>0</v>
      </c>
      <c r="L159" s="647">
        <f t="shared" si="10"/>
        <v>0</v>
      </c>
      <c r="M159" s="135">
        <v>11478</v>
      </c>
      <c r="N159" s="622">
        <v>-11478</v>
      </c>
      <c r="O159" s="622">
        <f t="shared" si="11"/>
        <v>0</v>
      </c>
      <c r="P159" s="135">
        <v>11478</v>
      </c>
      <c r="Q159" s="455">
        <v>0</v>
      </c>
      <c r="R159" s="453">
        <v>0</v>
      </c>
      <c r="S159" s="818">
        <v>0</v>
      </c>
      <c r="T159" s="455">
        <v>0</v>
      </c>
      <c r="U159" s="463">
        <v>0</v>
      </c>
      <c r="V159" s="464">
        <v>0</v>
      </c>
      <c r="W159" s="464">
        <v>0</v>
      </c>
      <c r="X159" s="820">
        <v>0</v>
      </c>
      <c r="Y159" s="465">
        <v>0</v>
      </c>
      <c r="Z159" s="291" t="s">
        <v>1914</v>
      </c>
      <c r="AA159" s="40" t="s">
        <v>6</v>
      </c>
      <c r="AB159" s="49" t="s">
        <v>1390</v>
      </c>
      <c r="AC159" s="789" t="s">
        <v>79</v>
      </c>
      <c r="AD159" s="114" t="s">
        <v>89</v>
      </c>
      <c r="AE159" s="948" t="s">
        <v>176</v>
      </c>
      <c r="AF159" s="948" t="s">
        <v>84</v>
      </c>
    </row>
    <row r="160" spans="1:32" ht="31.2" outlineLevel="1" x14ac:dyDescent="0.25">
      <c r="A160" s="446" t="s">
        <v>1405</v>
      </c>
      <c r="B160" s="458" t="s">
        <v>75</v>
      </c>
      <c r="C160" s="1131" t="s">
        <v>1406</v>
      </c>
      <c r="D160" s="40" t="s">
        <v>1513</v>
      </c>
      <c r="E160" s="52" t="s">
        <v>14</v>
      </c>
      <c r="F160" s="40" t="s">
        <v>14</v>
      </c>
      <c r="G160" s="44">
        <v>181560</v>
      </c>
      <c r="H160" s="131">
        <v>0</v>
      </c>
      <c r="I160" s="1056">
        <v>0</v>
      </c>
      <c r="J160" s="1070">
        <v>0</v>
      </c>
      <c r="K160" s="453">
        <v>0</v>
      </c>
      <c r="L160" s="647">
        <f t="shared" si="10"/>
        <v>0</v>
      </c>
      <c r="M160" s="135">
        <v>20000</v>
      </c>
      <c r="N160" s="622">
        <v>-20000</v>
      </c>
      <c r="O160" s="622">
        <f t="shared" si="11"/>
        <v>0</v>
      </c>
      <c r="P160" s="135">
        <v>81560</v>
      </c>
      <c r="Q160" s="455">
        <v>100000</v>
      </c>
      <c r="R160" s="453">
        <v>0</v>
      </c>
      <c r="S160" s="818">
        <v>0</v>
      </c>
      <c r="T160" s="455">
        <v>0</v>
      </c>
      <c r="U160" s="463">
        <v>0</v>
      </c>
      <c r="V160" s="464">
        <v>0</v>
      </c>
      <c r="W160" s="464">
        <v>0</v>
      </c>
      <c r="X160" s="820">
        <v>0</v>
      </c>
      <c r="Y160" s="465">
        <v>0</v>
      </c>
      <c r="Z160" s="291" t="s">
        <v>1915</v>
      </c>
      <c r="AA160" s="40" t="s">
        <v>6</v>
      </c>
      <c r="AB160" s="49" t="s">
        <v>1390</v>
      </c>
      <c r="AC160" s="789" t="s">
        <v>79</v>
      </c>
      <c r="AD160" s="114" t="s">
        <v>89</v>
      </c>
      <c r="AE160" s="948" t="s">
        <v>167</v>
      </c>
      <c r="AF160" s="948" t="s">
        <v>84</v>
      </c>
    </row>
    <row r="161" spans="1:32" ht="26.4" outlineLevel="1" x14ac:dyDescent="0.25">
      <c r="A161" s="446" t="s">
        <v>1407</v>
      </c>
      <c r="B161" s="458" t="s">
        <v>75</v>
      </c>
      <c r="C161" s="1131" t="s">
        <v>1408</v>
      </c>
      <c r="D161" s="40" t="s">
        <v>1513</v>
      </c>
      <c r="E161" s="52" t="s">
        <v>14</v>
      </c>
      <c r="F161" s="40" t="s">
        <v>14</v>
      </c>
      <c r="G161" s="44">
        <v>27020</v>
      </c>
      <c r="H161" s="131">
        <v>0</v>
      </c>
      <c r="I161" s="1056">
        <v>0</v>
      </c>
      <c r="J161" s="1070">
        <v>232.92500000000001</v>
      </c>
      <c r="K161" s="453">
        <v>0</v>
      </c>
      <c r="L161" s="647">
        <f t="shared" si="10"/>
        <v>233</v>
      </c>
      <c r="M161" s="135">
        <v>27020</v>
      </c>
      <c r="N161" s="622">
        <v>-26787</v>
      </c>
      <c r="O161" s="622">
        <f t="shared" si="11"/>
        <v>233</v>
      </c>
      <c r="P161" s="135">
        <f>27020-233</f>
        <v>26787</v>
      </c>
      <c r="Q161" s="455">
        <v>0</v>
      </c>
      <c r="R161" s="453">
        <v>0</v>
      </c>
      <c r="S161" s="818">
        <v>0</v>
      </c>
      <c r="T161" s="455">
        <v>0</v>
      </c>
      <c r="U161" s="463">
        <v>0</v>
      </c>
      <c r="V161" s="464">
        <v>0</v>
      </c>
      <c r="W161" s="464">
        <v>0</v>
      </c>
      <c r="X161" s="820">
        <v>0</v>
      </c>
      <c r="Y161" s="465">
        <v>0</v>
      </c>
      <c r="Z161" s="291" t="s">
        <v>1916</v>
      </c>
      <c r="AA161" s="40" t="s">
        <v>6</v>
      </c>
      <c r="AB161" s="49" t="s">
        <v>1390</v>
      </c>
      <c r="AC161" s="789" t="s">
        <v>79</v>
      </c>
      <c r="AD161" s="114" t="s">
        <v>89</v>
      </c>
      <c r="AE161" s="948" t="s">
        <v>186</v>
      </c>
      <c r="AF161" s="948" t="s">
        <v>84</v>
      </c>
    </row>
    <row r="162" spans="1:32" ht="26.4" outlineLevel="1" x14ac:dyDescent="0.25">
      <c r="A162" s="683" t="s">
        <v>1409</v>
      </c>
      <c r="B162" s="1732" t="s">
        <v>1646</v>
      </c>
      <c r="C162" s="1772" t="s">
        <v>1410</v>
      </c>
      <c r="D162" s="1734" t="s">
        <v>1513</v>
      </c>
      <c r="E162" s="1739" t="s">
        <v>14</v>
      </c>
      <c r="F162" s="1734" t="s">
        <v>14</v>
      </c>
      <c r="G162" s="1751">
        <f>7275+2225</f>
        <v>9500</v>
      </c>
      <c r="H162" s="1297">
        <v>0</v>
      </c>
      <c r="I162" s="1298">
        <v>0</v>
      </c>
      <c r="J162" s="1299">
        <v>2354.6588899999997</v>
      </c>
      <c r="K162" s="1300">
        <v>0</v>
      </c>
      <c r="L162" s="1301">
        <f t="shared" si="10"/>
        <v>9500</v>
      </c>
      <c r="M162" s="1302">
        <v>7275</v>
      </c>
      <c r="N162" s="1111">
        <v>2225</v>
      </c>
      <c r="O162" s="2114">
        <f t="shared" si="11"/>
        <v>9500</v>
      </c>
      <c r="P162" s="1302">
        <v>0</v>
      </c>
      <c r="Q162" s="2144">
        <v>0</v>
      </c>
      <c r="R162" s="1300">
        <v>0</v>
      </c>
      <c r="S162" s="2129">
        <v>0</v>
      </c>
      <c r="T162" s="2144">
        <v>0</v>
      </c>
      <c r="U162" s="1286">
        <v>0</v>
      </c>
      <c r="V162" s="2117">
        <v>0</v>
      </c>
      <c r="W162" s="2117">
        <v>0</v>
      </c>
      <c r="X162" s="2115">
        <v>0</v>
      </c>
      <c r="Y162" s="2116">
        <v>0</v>
      </c>
      <c r="Z162" s="1759" t="s">
        <v>1808</v>
      </c>
      <c r="AA162" s="1734" t="s">
        <v>10</v>
      </c>
      <c r="AB162" s="2120" t="s">
        <v>382</v>
      </c>
      <c r="AC162" s="2145" t="s">
        <v>80</v>
      </c>
      <c r="AD162" s="2119" t="s">
        <v>89</v>
      </c>
      <c r="AE162" s="2132" t="s">
        <v>167</v>
      </c>
      <c r="AF162" s="2132" t="s">
        <v>84</v>
      </c>
    </row>
    <row r="163" spans="1:32" ht="26.4" outlineLevel="1" x14ac:dyDescent="0.25">
      <c r="A163" s="446" t="s">
        <v>1411</v>
      </c>
      <c r="B163" s="458" t="s">
        <v>75</v>
      </c>
      <c r="C163" s="1131" t="s">
        <v>1412</v>
      </c>
      <c r="D163" s="40" t="s">
        <v>1513</v>
      </c>
      <c r="E163" s="52" t="s">
        <v>14</v>
      </c>
      <c r="F163" s="40" t="s">
        <v>14</v>
      </c>
      <c r="G163" s="44">
        <v>92140</v>
      </c>
      <c r="H163" s="131">
        <v>0</v>
      </c>
      <c r="I163" s="1056">
        <v>0</v>
      </c>
      <c r="J163" s="1070">
        <v>1501.61</v>
      </c>
      <c r="K163" s="453">
        <v>0</v>
      </c>
      <c r="L163" s="647">
        <f t="shared" si="10"/>
        <v>1501.6100000000006</v>
      </c>
      <c r="M163" s="135">
        <v>20000</v>
      </c>
      <c r="N163" s="622">
        <f>-20000+1501.61</f>
        <v>-18498.39</v>
      </c>
      <c r="O163" s="622">
        <f t="shared" si="11"/>
        <v>1501.6100000000006</v>
      </c>
      <c r="P163" s="135">
        <f>72140-1501.61</f>
        <v>70638.39</v>
      </c>
      <c r="Q163" s="455">
        <v>20000</v>
      </c>
      <c r="R163" s="453">
        <v>0</v>
      </c>
      <c r="S163" s="818">
        <v>0</v>
      </c>
      <c r="T163" s="455">
        <v>0</v>
      </c>
      <c r="U163" s="463">
        <v>0</v>
      </c>
      <c r="V163" s="464">
        <v>0</v>
      </c>
      <c r="W163" s="464">
        <v>0</v>
      </c>
      <c r="X163" s="820">
        <v>0</v>
      </c>
      <c r="Y163" s="465">
        <v>0</v>
      </c>
      <c r="Z163" s="291" t="s">
        <v>1917</v>
      </c>
      <c r="AA163" s="40" t="s">
        <v>6</v>
      </c>
      <c r="AB163" s="49" t="s">
        <v>1073</v>
      </c>
      <c r="AC163" s="789" t="s">
        <v>79</v>
      </c>
      <c r="AD163" s="114" t="s">
        <v>89</v>
      </c>
      <c r="AE163" s="948" t="s">
        <v>182</v>
      </c>
      <c r="AF163" s="948" t="s">
        <v>84</v>
      </c>
    </row>
    <row r="164" spans="1:32" ht="26.4" outlineLevel="1" x14ac:dyDescent="0.25">
      <c r="A164" s="446" t="s">
        <v>1413</v>
      </c>
      <c r="B164" s="458" t="s">
        <v>75</v>
      </c>
      <c r="C164" s="1131" t="s">
        <v>1414</v>
      </c>
      <c r="D164" s="40" t="s">
        <v>1513</v>
      </c>
      <c r="E164" s="52" t="s">
        <v>14</v>
      </c>
      <c r="F164" s="40" t="s">
        <v>14</v>
      </c>
      <c r="G164" s="44">
        <v>6970</v>
      </c>
      <c r="H164" s="131">
        <v>0</v>
      </c>
      <c r="I164" s="1056">
        <v>0</v>
      </c>
      <c r="J164" s="1070">
        <v>0</v>
      </c>
      <c r="K164" s="453">
        <v>0</v>
      </c>
      <c r="L164" s="647">
        <f t="shared" si="10"/>
        <v>0</v>
      </c>
      <c r="M164" s="135">
        <v>6970</v>
      </c>
      <c r="N164" s="622">
        <v>-6970</v>
      </c>
      <c r="O164" s="622">
        <f t="shared" si="11"/>
        <v>0</v>
      </c>
      <c r="P164" s="135">
        <v>6970</v>
      </c>
      <c r="Q164" s="455">
        <v>0</v>
      </c>
      <c r="R164" s="453">
        <v>0</v>
      </c>
      <c r="S164" s="818">
        <v>0</v>
      </c>
      <c r="T164" s="455">
        <v>0</v>
      </c>
      <c r="U164" s="463">
        <v>0</v>
      </c>
      <c r="V164" s="464">
        <v>0</v>
      </c>
      <c r="W164" s="464">
        <v>0</v>
      </c>
      <c r="X164" s="820">
        <v>0</v>
      </c>
      <c r="Y164" s="465">
        <v>0</v>
      </c>
      <c r="Z164" s="291" t="s">
        <v>1918</v>
      </c>
      <c r="AA164" s="40" t="s">
        <v>6</v>
      </c>
      <c r="AB164" s="49" t="s">
        <v>1390</v>
      </c>
      <c r="AC164" s="789" t="s">
        <v>79</v>
      </c>
      <c r="AD164" s="114" t="s">
        <v>89</v>
      </c>
      <c r="AE164" s="948" t="s">
        <v>181</v>
      </c>
      <c r="AF164" s="948" t="s">
        <v>84</v>
      </c>
    </row>
    <row r="165" spans="1:32" ht="26.4" outlineLevel="1" x14ac:dyDescent="0.25">
      <c r="A165" s="446" t="s">
        <v>1415</v>
      </c>
      <c r="B165" s="458" t="s">
        <v>75</v>
      </c>
      <c r="C165" s="1131" t="s">
        <v>1416</v>
      </c>
      <c r="D165" s="40" t="s">
        <v>1513</v>
      </c>
      <c r="E165" s="52" t="s">
        <v>14</v>
      </c>
      <c r="F165" s="40" t="s">
        <v>14</v>
      </c>
      <c r="G165" s="44">
        <v>2000</v>
      </c>
      <c r="H165" s="131">
        <v>0</v>
      </c>
      <c r="I165" s="1056">
        <v>0</v>
      </c>
      <c r="J165" s="1070">
        <v>296.45</v>
      </c>
      <c r="K165" s="453">
        <v>0</v>
      </c>
      <c r="L165" s="647">
        <f t="shared" ref="L165:L196" si="12">O165-K165</f>
        <v>297</v>
      </c>
      <c r="M165" s="135">
        <v>2000</v>
      </c>
      <c r="N165" s="622">
        <v>-1703</v>
      </c>
      <c r="O165" s="622">
        <f t="shared" si="11"/>
        <v>297</v>
      </c>
      <c r="P165" s="135">
        <v>1703</v>
      </c>
      <c r="Q165" s="455">
        <v>0</v>
      </c>
      <c r="R165" s="453">
        <v>0</v>
      </c>
      <c r="S165" s="818">
        <v>0</v>
      </c>
      <c r="T165" s="455">
        <v>0</v>
      </c>
      <c r="U165" s="463">
        <v>0</v>
      </c>
      <c r="V165" s="464">
        <v>0</v>
      </c>
      <c r="W165" s="464">
        <v>0</v>
      </c>
      <c r="X165" s="820">
        <v>0</v>
      </c>
      <c r="Y165" s="465">
        <v>0</v>
      </c>
      <c r="Z165" s="291" t="s">
        <v>1919</v>
      </c>
      <c r="AA165" s="40" t="s">
        <v>10</v>
      </c>
      <c r="AB165" s="49" t="s">
        <v>1390</v>
      </c>
      <c r="AC165" s="789" t="s">
        <v>80</v>
      </c>
      <c r="AD165" s="114" t="s">
        <v>89</v>
      </c>
      <c r="AE165" s="948" t="s">
        <v>169</v>
      </c>
      <c r="AF165" s="948" t="s">
        <v>84</v>
      </c>
    </row>
    <row r="166" spans="1:32" ht="26.4" outlineLevel="1" x14ac:dyDescent="0.25">
      <c r="A166" s="446" t="s">
        <v>1448</v>
      </c>
      <c r="B166" s="458" t="s">
        <v>75</v>
      </c>
      <c r="C166" s="1131" t="s">
        <v>1449</v>
      </c>
      <c r="D166" s="40" t="s">
        <v>1513</v>
      </c>
      <c r="E166" s="52" t="s">
        <v>14</v>
      </c>
      <c r="F166" s="40" t="s">
        <v>14</v>
      </c>
      <c r="G166" s="44">
        <v>16281</v>
      </c>
      <c r="H166" s="131">
        <v>0</v>
      </c>
      <c r="I166" s="1056">
        <v>0</v>
      </c>
      <c r="J166" s="1070">
        <v>0</v>
      </c>
      <c r="K166" s="453">
        <v>0</v>
      </c>
      <c r="L166" s="647">
        <f t="shared" si="12"/>
        <v>0</v>
      </c>
      <c r="M166" s="135">
        <v>16281</v>
      </c>
      <c r="N166" s="622">
        <v>-16281</v>
      </c>
      <c r="O166" s="622">
        <f t="shared" si="11"/>
        <v>0</v>
      </c>
      <c r="P166" s="135">
        <v>16281</v>
      </c>
      <c r="Q166" s="455">
        <v>0</v>
      </c>
      <c r="R166" s="453">
        <v>0</v>
      </c>
      <c r="S166" s="818">
        <v>0</v>
      </c>
      <c r="T166" s="455">
        <v>0</v>
      </c>
      <c r="U166" s="463">
        <v>0</v>
      </c>
      <c r="V166" s="464">
        <v>0</v>
      </c>
      <c r="W166" s="464">
        <v>0</v>
      </c>
      <c r="X166" s="820">
        <v>0</v>
      </c>
      <c r="Y166" s="465">
        <v>0</v>
      </c>
      <c r="Z166" s="291" t="s">
        <v>1920</v>
      </c>
      <c r="AA166" s="40" t="s">
        <v>6</v>
      </c>
      <c r="AB166" s="49" t="s">
        <v>1390</v>
      </c>
      <c r="AC166" s="789" t="s">
        <v>79</v>
      </c>
      <c r="AD166" s="114" t="s">
        <v>89</v>
      </c>
      <c r="AE166" s="948" t="s">
        <v>167</v>
      </c>
      <c r="AF166" s="948" t="s">
        <v>84</v>
      </c>
    </row>
    <row r="167" spans="1:32" ht="26.4" outlineLevel="1" x14ac:dyDescent="0.25">
      <c r="A167" s="446" t="s">
        <v>1450</v>
      </c>
      <c r="B167" s="458" t="s">
        <v>75</v>
      </c>
      <c r="C167" s="1131" t="s">
        <v>1451</v>
      </c>
      <c r="D167" s="40" t="s">
        <v>1513</v>
      </c>
      <c r="E167" s="52" t="s">
        <v>14</v>
      </c>
      <c r="F167" s="40" t="s">
        <v>14</v>
      </c>
      <c r="G167" s="44">
        <v>475102</v>
      </c>
      <c r="H167" s="131">
        <v>0</v>
      </c>
      <c r="I167" s="1056">
        <v>0</v>
      </c>
      <c r="J167" s="1070">
        <v>0</v>
      </c>
      <c r="K167" s="453">
        <v>0</v>
      </c>
      <c r="L167" s="647">
        <f t="shared" si="12"/>
        <v>0</v>
      </c>
      <c r="M167" s="135">
        <v>30000</v>
      </c>
      <c r="N167" s="622">
        <v>-30000</v>
      </c>
      <c r="O167" s="622">
        <f t="shared" si="11"/>
        <v>0</v>
      </c>
      <c r="P167" s="135">
        <v>120000</v>
      </c>
      <c r="Q167" s="455">
        <v>355102</v>
      </c>
      <c r="R167" s="453">
        <v>0</v>
      </c>
      <c r="S167" s="818">
        <v>0</v>
      </c>
      <c r="T167" s="455">
        <v>0</v>
      </c>
      <c r="U167" s="463">
        <v>0</v>
      </c>
      <c r="V167" s="464">
        <v>0</v>
      </c>
      <c r="W167" s="464">
        <v>0</v>
      </c>
      <c r="X167" s="820">
        <v>0</v>
      </c>
      <c r="Y167" s="465">
        <v>0</v>
      </c>
      <c r="Z167" s="291" t="s">
        <v>1956</v>
      </c>
      <c r="AA167" s="40" t="s">
        <v>6</v>
      </c>
      <c r="AB167" s="456" t="s">
        <v>1236</v>
      </c>
      <c r="AC167" s="789" t="s">
        <v>79</v>
      </c>
      <c r="AD167" s="114" t="s">
        <v>89</v>
      </c>
      <c r="AE167" s="948" t="s">
        <v>167</v>
      </c>
      <c r="AF167" s="948"/>
    </row>
    <row r="168" spans="1:32" ht="26.4" outlineLevel="1" x14ac:dyDescent="0.25">
      <c r="A168" s="446" t="s">
        <v>1452</v>
      </c>
      <c r="B168" s="458" t="s">
        <v>75</v>
      </c>
      <c r="C168" s="1131" t="s">
        <v>1453</v>
      </c>
      <c r="D168" s="40" t="s">
        <v>1513</v>
      </c>
      <c r="E168" s="52" t="s">
        <v>14</v>
      </c>
      <c r="F168" s="40" t="s">
        <v>14</v>
      </c>
      <c r="G168" s="44">
        <v>136181</v>
      </c>
      <c r="H168" s="131">
        <v>0</v>
      </c>
      <c r="I168" s="1056">
        <v>0</v>
      </c>
      <c r="J168" s="1070">
        <v>0</v>
      </c>
      <c r="K168" s="453">
        <v>0</v>
      </c>
      <c r="L168" s="647">
        <f t="shared" si="12"/>
        <v>0</v>
      </c>
      <c r="M168" s="135">
        <v>70000</v>
      </c>
      <c r="N168" s="622">
        <v>-70000</v>
      </c>
      <c r="O168" s="622">
        <f t="shared" si="11"/>
        <v>0</v>
      </c>
      <c r="P168" s="135">
        <v>66181</v>
      </c>
      <c r="Q168" s="455">
        <v>70000</v>
      </c>
      <c r="R168" s="453">
        <v>0</v>
      </c>
      <c r="S168" s="818">
        <v>0</v>
      </c>
      <c r="T168" s="455">
        <v>0</v>
      </c>
      <c r="U168" s="463">
        <v>0</v>
      </c>
      <c r="V168" s="464">
        <v>0</v>
      </c>
      <c r="W168" s="464">
        <v>0</v>
      </c>
      <c r="X168" s="820">
        <v>0</v>
      </c>
      <c r="Y168" s="465">
        <v>0</v>
      </c>
      <c r="Z168" s="291" t="s">
        <v>1921</v>
      </c>
      <c r="AA168" s="40" t="s">
        <v>6</v>
      </c>
      <c r="AB168" s="49" t="s">
        <v>1311</v>
      </c>
      <c r="AC168" s="789" t="s">
        <v>79</v>
      </c>
      <c r="AD168" s="114" t="s">
        <v>89</v>
      </c>
      <c r="AE168" s="948" t="s">
        <v>167</v>
      </c>
      <c r="AF168" s="948"/>
    </row>
    <row r="169" spans="1:32" ht="26.4" outlineLevel="1" x14ac:dyDescent="0.25">
      <c r="A169" s="446" t="s">
        <v>1454</v>
      </c>
      <c r="B169" s="458" t="s">
        <v>1641</v>
      </c>
      <c r="C169" s="1131" t="s">
        <v>1455</v>
      </c>
      <c r="D169" s="40" t="s">
        <v>1513</v>
      </c>
      <c r="E169" s="52" t="s">
        <v>14</v>
      </c>
      <c r="F169" s="40" t="s">
        <v>14</v>
      </c>
      <c r="G169" s="44">
        <v>147261</v>
      </c>
      <c r="H169" s="131">
        <v>0</v>
      </c>
      <c r="I169" s="1056">
        <v>0</v>
      </c>
      <c r="J169" s="1070">
        <v>16697.365030000001</v>
      </c>
      <c r="K169" s="453">
        <v>0</v>
      </c>
      <c r="L169" s="647">
        <f t="shared" si="12"/>
        <v>60000</v>
      </c>
      <c r="M169" s="135">
        <v>70000</v>
      </c>
      <c r="N169" s="622">
        <v>-10000</v>
      </c>
      <c r="O169" s="622">
        <f t="shared" si="11"/>
        <v>60000</v>
      </c>
      <c r="P169" s="135">
        <v>87261</v>
      </c>
      <c r="Q169" s="455">
        <v>0</v>
      </c>
      <c r="R169" s="453">
        <v>0</v>
      </c>
      <c r="S169" s="818">
        <v>0</v>
      </c>
      <c r="T169" s="455">
        <v>0</v>
      </c>
      <c r="U169" s="463">
        <v>0</v>
      </c>
      <c r="V169" s="464">
        <v>0</v>
      </c>
      <c r="W169" s="464">
        <v>0</v>
      </c>
      <c r="X169" s="820">
        <v>0</v>
      </c>
      <c r="Y169" s="465">
        <v>0</v>
      </c>
      <c r="Z169" s="291" t="s">
        <v>1877</v>
      </c>
      <c r="AA169" s="40" t="s">
        <v>10</v>
      </c>
      <c r="AB169" s="49" t="s">
        <v>1311</v>
      </c>
      <c r="AC169" s="789" t="s">
        <v>80</v>
      </c>
      <c r="AD169" s="114" t="s">
        <v>89</v>
      </c>
      <c r="AE169" s="948" t="s">
        <v>172</v>
      </c>
      <c r="AF169" s="948"/>
    </row>
    <row r="170" spans="1:32" ht="31.8" outlineLevel="1" thickBot="1" x14ac:dyDescent="0.3">
      <c r="A170" s="552" t="s">
        <v>1456</v>
      </c>
      <c r="B170" s="872" t="s">
        <v>75</v>
      </c>
      <c r="C170" s="1142" t="s">
        <v>1457</v>
      </c>
      <c r="D170" s="56" t="s">
        <v>1513</v>
      </c>
      <c r="E170" s="69" t="s">
        <v>14</v>
      </c>
      <c r="F170" s="56" t="s">
        <v>14</v>
      </c>
      <c r="G170" s="57">
        <v>29287</v>
      </c>
      <c r="H170" s="133">
        <v>0</v>
      </c>
      <c r="I170" s="1064">
        <v>0</v>
      </c>
      <c r="J170" s="1065">
        <v>0</v>
      </c>
      <c r="K170" s="670">
        <v>0</v>
      </c>
      <c r="L170" s="669">
        <f t="shared" si="12"/>
        <v>0</v>
      </c>
      <c r="M170" s="672">
        <v>14287</v>
      </c>
      <c r="N170" s="111">
        <v>-14287</v>
      </c>
      <c r="O170" s="111">
        <f t="shared" si="11"/>
        <v>0</v>
      </c>
      <c r="P170" s="672">
        <v>29287</v>
      </c>
      <c r="Q170" s="671">
        <v>0</v>
      </c>
      <c r="R170" s="670">
        <v>0</v>
      </c>
      <c r="S170" s="819">
        <v>0</v>
      </c>
      <c r="T170" s="671">
        <v>0</v>
      </c>
      <c r="U170" s="670">
        <v>0</v>
      </c>
      <c r="V170" s="668">
        <v>0</v>
      </c>
      <c r="W170" s="668">
        <v>0</v>
      </c>
      <c r="X170" s="819">
        <v>0</v>
      </c>
      <c r="Y170" s="671">
        <v>0</v>
      </c>
      <c r="Z170" s="197" t="s">
        <v>1922</v>
      </c>
      <c r="AA170" s="56" t="s">
        <v>6</v>
      </c>
      <c r="AB170" s="112" t="s">
        <v>1050</v>
      </c>
      <c r="AC170" s="412" t="s">
        <v>79</v>
      </c>
      <c r="AD170" s="112" t="s">
        <v>89</v>
      </c>
      <c r="AE170" s="984" t="s">
        <v>241</v>
      </c>
      <c r="AF170" s="984"/>
    </row>
    <row r="171" spans="1:32" ht="26.4" outlineLevel="1" x14ac:dyDescent="0.25">
      <c r="A171" s="225" t="s">
        <v>1578</v>
      </c>
      <c r="B171" s="1640" t="s">
        <v>75</v>
      </c>
      <c r="C171" s="1765" t="s">
        <v>1535</v>
      </c>
      <c r="D171" s="1642" t="s">
        <v>1657</v>
      </c>
      <c r="E171" s="1643" t="s">
        <v>14</v>
      </c>
      <c r="F171" s="1642" t="s">
        <v>14</v>
      </c>
      <c r="G171" s="1499">
        <v>60000</v>
      </c>
      <c r="H171" s="1192">
        <v>0</v>
      </c>
      <c r="I171" s="1182">
        <v>0</v>
      </c>
      <c r="J171" s="1188">
        <v>0</v>
      </c>
      <c r="K171" s="1237">
        <v>0</v>
      </c>
      <c r="L171" s="1185">
        <f t="shared" si="12"/>
        <v>0</v>
      </c>
      <c r="M171" s="1169">
        <v>0</v>
      </c>
      <c r="N171" s="229">
        <v>0</v>
      </c>
      <c r="O171" s="1617">
        <f t="shared" si="11"/>
        <v>0</v>
      </c>
      <c r="P171" s="1169">
        <v>60000</v>
      </c>
      <c r="Q171" s="1618">
        <v>0</v>
      </c>
      <c r="R171" s="1237">
        <v>0</v>
      </c>
      <c r="S171" s="1999">
        <v>0</v>
      </c>
      <c r="T171" s="1618">
        <v>0</v>
      </c>
      <c r="U171" s="1237">
        <v>0</v>
      </c>
      <c r="V171" s="1184">
        <v>0</v>
      </c>
      <c r="W171" s="1184">
        <v>0</v>
      </c>
      <c r="X171" s="1999">
        <v>0</v>
      </c>
      <c r="Y171" s="1618">
        <v>0</v>
      </c>
      <c r="Z171" s="2089" t="s">
        <v>72</v>
      </c>
      <c r="AA171" s="1642" t="s">
        <v>8</v>
      </c>
      <c r="AB171" s="2043" t="s">
        <v>1390</v>
      </c>
      <c r="AC171" s="2001" t="s">
        <v>79</v>
      </c>
      <c r="AD171" s="2002" t="s">
        <v>88</v>
      </c>
      <c r="AE171" s="1644" t="s">
        <v>185</v>
      </c>
      <c r="AF171" s="1644"/>
    </row>
    <row r="172" spans="1:32" ht="26.4" outlineLevel="1" x14ac:dyDescent="0.25">
      <c r="A172" s="225" t="s">
        <v>1579</v>
      </c>
      <c r="B172" s="1640" t="s">
        <v>75</v>
      </c>
      <c r="C172" s="1765" t="s">
        <v>1536</v>
      </c>
      <c r="D172" s="1642" t="s">
        <v>1657</v>
      </c>
      <c r="E172" s="1643" t="s">
        <v>14</v>
      </c>
      <c r="F172" s="1642" t="s">
        <v>14</v>
      </c>
      <c r="G172" s="1499">
        <v>80000</v>
      </c>
      <c r="H172" s="1192">
        <v>0</v>
      </c>
      <c r="I172" s="1182">
        <v>0</v>
      </c>
      <c r="J172" s="1188">
        <v>0</v>
      </c>
      <c r="K172" s="1237">
        <v>0</v>
      </c>
      <c r="L172" s="1185">
        <f t="shared" si="12"/>
        <v>0</v>
      </c>
      <c r="M172" s="1169">
        <v>0</v>
      </c>
      <c r="N172" s="229">
        <v>0</v>
      </c>
      <c r="O172" s="1617">
        <f t="shared" si="11"/>
        <v>0</v>
      </c>
      <c r="P172" s="1169">
        <v>30000</v>
      </c>
      <c r="Q172" s="1618">
        <v>50000</v>
      </c>
      <c r="R172" s="1237">
        <v>0</v>
      </c>
      <c r="S172" s="1999">
        <v>0</v>
      </c>
      <c r="T172" s="1618">
        <v>0</v>
      </c>
      <c r="U172" s="1239">
        <v>0</v>
      </c>
      <c r="V172" s="1189">
        <v>0</v>
      </c>
      <c r="W172" s="1189">
        <v>0</v>
      </c>
      <c r="X172" s="2003">
        <v>0</v>
      </c>
      <c r="Y172" s="1616">
        <v>0</v>
      </c>
      <c r="Z172" s="2089" t="s">
        <v>72</v>
      </c>
      <c r="AA172" s="1642" t="s">
        <v>8</v>
      </c>
      <c r="AB172" s="2043" t="s">
        <v>1237</v>
      </c>
      <c r="AC172" s="2001" t="s">
        <v>79</v>
      </c>
      <c r="AD172" s="2002" t="s">
        <v>88</v>
      </c>
      <c r="AE172" s="1644" t="s">
        <v>168</v>
      </c>
      <c r="AF172" s="1644"/>
    </row>
    <row r="173" spans="1:32" ht="26.4" outlineLevel="1" x14ac:dyDescent="0.25">
      <c r="A173" s="446" t="s">
        <v>1580</v>
      </c>
      <c r="B173" s="447" t="s">
        <v>75</v>
      </c>
      <c r="C173" s="1131" t="s">
        <v>1537</v>
      </c>
      <c r="D173" s="40" t="s">
        <v>1657</v>
      </c>
      <c r="E173" s="52" t="s">
        <v>14</v>
      </c>
      <c r="F173" s="40" t="s">
        <v>14</v>
      </c>
      <c r="G173" s="44">
        <v>20000</v>
      </c>
      <c r="H173" s="131">
        <v>0</v>
      </c>
      <c r="I173" s="1056">
        <v>0</v>
      </c>
      <c r="J173" s="1070">
        <v>0</v>
      </c>
      <c r="K173" s="453">
        <v>0</v>
      </c>
      <c r="L173" s="647">
        <f t="shared" si="12"/>
        <v>312</v>
      </c>
      <c r="M173" s="135">
        <v>0</v>
      </c>
      <c r="N173" s="622">
        <v>312</v>
      </c>
      <c r="O173" s="622">
        <f t="shared" si="11"/>
        <v>312</v>
      </c>
      <c r="P173" s="135">
        <f>20000-312</f>
        <v>19688</v>
      </c>
      <c r="Q173" s="455">
        <v>0</v>
      </c>
      <c r="R173" s="453">
        <v>0</v>
      </c>
      <c r="S173" s="818">
        <v>0</v>
      </c>
      <c r="T173" s="455">
        <v>0</v>
      </c>
      <c r="U173" s="463">
        <v>0</v>
      </c>
      <c r="V173" s="464">
        <v>0</v>
      </c>
      <c r="W173" s="464">
        <v>0</v>
      </c>
      <c r="X173" s="820">
        <v>0</v>
      </c>
      <c r="Y173" s="465">
        <v>0</v>
      </c>
      <c r="Z173" s="291" t="s">
        <v>1923</v>
      </c>
      <c r="AA173" s="40" t="s">
        <v>10</v>
      </c>
      <c r="AB173" s="456" t="s">
        <v>450</v>
      </c>
      <c r="AC173" s="789" t="s">
        <v>80</v>
      </c>
      <c r="AD173" s="114" t="s">
        <v>89</v>
      </c>
      <c r="AE173" s="948" t="s">
        <v>171</v>
      </c>
      <c r="AF173" s="948"/>
    </row>
    <row r="174" spans="1:32" ht="26.4" outlineLevel="1" x14ac:dyDescent="0.25">
      <c r="A174" s="225" t="s">
        <v>1581</v>
      </c>
      <c r="B174" s="1640" t="s">
        <v>75</v>
      </c>
      <c r="C174" s="1765" t="s">
        <v>1538</v>
      </c>
      <c r="D174" s="1642" t="s">
        <v>1657</v>
      </c>
      <c r="E174" s="1643" t="s">
        <v>14</v>
      </c>
      <c r="F174" s="1642" t="s">
        <v>14</v>
      </c>
      <c r="G174" s="1499">
        <v>24000</v>
      </c>
      <c r="H174" s="1192">
        <v>0</v>
      </c>
      <c r="I174" s="1182">
        <v>0</v>
      </c>
      <c r="J174" s="1188">
        <v>0</v>
      </c>
      <c r="K174" s="1237">
        <v>0</v>
      </c>
      <c r="L174" s="1185">
        <f t="shared" si="12"/>
        <v>0</v>
      </c>
      <c r="M174" s="1169">
        <v>0</v>
      </c>
      <c r="N174" s="229">
        <v>0</v>
      </c>
      <c r="O174" s="1617">
        <f t="shared" si="11"/>
        <v>0</v>
      </c>
      <c r="P174" s="1169">
        <v>24000</v>
      </c>
      <c r="Q174" s="1618">
        <v>0</v>
      </c>
      <c r="R174" s="1237">
        <v>0</v>
      </c>
      <c r="S174" s="1999">
        <v>0</v>
      </c>
      <c r="T174" s="1618">
        <v>0</v>
      </c>
      <c r="U174" s="1239">
        <v>0</v>
      </c>
      <c r="V174" s="1189">
        <v>0</v>
      </c>
      <c r="W174" s="1189">
        <v>0</v>
      </c>
      <c r="X174" s="2003">
        <v>0</v>
      </c>
      <c r="Y174" s="1616">
        <v>0</v>
      </c>
      <c r="Z174" s="2089" t="s">
        <v>72</v>
      </c>
      <c r="AA174" s="1642" t="s">
        <v>8</v>
      </c>
      <c r="AB174" s="2043" t="s">
        <v>1237</v>
      </c>
      <c r="AC174" s="2001" t="s">
        <v>79</v>
      </c>
      <c r="AD174" s="2002" t="s">
        <v>88</v>
      </c>
      <c r="AE174" s="1644" t="s">
        <v>181</v>
      </c>
      <c r="AF174" s="1644"/>
    </row>
    <row r="175" spans="1:32" ht="26.4" outlineLevel="1" x14ac:dyDescent="0.25">
      <c r="A175" s="225" t="s">
        <v>1582</v>
      </c>
      <c r="B175" s="1640" t="s">
        <v>75</v>
      </c>
      <c r="C175" s="1765" t="s">
        <v>1539</v>
      </c>
      <c r="D175" s="1642" t="s">
        <v>1657</v>
      </c>
      <c r="E175" s="1643" t="s">
        <v>14</v>
      </c>
      <c r="F175" s="1642" t="s">
        <v>14</v>
      </c>
      <c r="G175" s="1499">
        <v>27000</v>
      </c>
      <c r="H175" s="1192">
        <v>0</v>
      </c>
      <c r="I175" s="1182">
        <v>0</v>
      </c>
      <c r="J175" s="1188">
        <v>0</v>
      </c>
      <c r="K175" s="1237">
        <v>0</v>
      </c>
      <c r="L175" s="1185">
        <f t="shared" si="12"/>
        <v>0</v>
      </c>
      <c r="M175" s="1169">
        <v>0</v>
      </c>
      <c r="N175" s="229">
        <v>0</v>
      </c>
      <c r="O175" s="1617">
        <f t="shared" si="11"/>
        <v>0</v>
      </c>
      <c r="P175" s="1169">
        <v>27000</v>
      </c>
      <c r="Q175" s="1618">
        <v>0</v>
      </c>
      <c r="R175" s="1237">
        <v>0</v>
      </c>
      <c r="S175" s="1999">
        <v>0</v>
      </c>
      <c r="T175" s="1618">
        <v>0</v>
      </c>
      <c r="U175" s="1239">
        <v>0</v>
      </c>
      <c r="V175" s="1189">
        <v>0</v>
      </c>
      <c r="W175" s="1189">
        <v>0</v>
      </c>
      <c r="X175" s="2003">
        <v>0</v>
      </c>
      <c r="Y175" s="1616">
        <v>0</v>
      </c>
      <c r="Z175" s="2089" t="s">
        <v>72</v>
      </c>
      <c r="AA175" s="1642" t="s">
        <v>8</v>
      </c>
      <c r="AB175" s="2043" t="s">
        <v>1237</v>
      </c>
      <c r="AC175" s="2001" t="s">
        <v>79</v>
      </c>
      <c r="AD175" s="2002" t="s">
        <v>88</v>
      </c>
      <c r="AE175" s="1644" t="s">
        <v>1540</v>
      </c>
      <c r="AF175" s="1644"/>
    </row>
    <row r="176" spans="1:32" ht="26.4" outlineLevel="1" x14ac:dyDescent="0.25">
      <c r="A176" s="225" t="s">
        <v>1583</v>
      </c>
      <c r="B176" s="1640" t="s">
        <v>75</v>
      </c>
      <c r="C176" s="1765" t="s">
        <v>1541</v>
      </c>
      <c r="D176" s="1642" t="s">
        <v>1657</v>
      </c>
      <c r="E176" s="1643" t="s">
        <v>14</v>
      </c>
      <c r="F176" s="1642" t="s">
        <v>14</v>
      </c>
      <c r="G176" s="1499">
        <v>38000</v>
      </c>
      <c r="H176" s="1192">
        <v>0</v>
      </c>
      <c r="I176" s="1182">
        <v>0</v>
      </c>
      <c r="J176" s="1188">
        <v>0</v>
      </c>
      <c r="K176" s="1237">
        <v>0</v>
      </c>
      <c r="L176" s="1185">
        <f t="shared" si="12"/>
        <v>0</v>
      </c>
      <c r="M176" s="1169">
        <v>0</v>
      </c>
      <c r="N176" s="229">
        <v>0</v>
      </c>
      <c r="O176" s="1617">
        <f t="shared" si="11"/>
        <v>0</v>
      </c>
      <c r="P176" s="1169">
        <v>0</v>
      </c>
      <c r="Q176" s="1618">
        <v>38000</v>
      </c>
      <c r="R176" s="1237">
        <v>0</v>
      </c>
      <c r="S176" s="1999">
        <v>0</v>
      </c>
      <c r="T176" s="1618">
        <v>0</v>
      </c>
      <c r="U176" s="1239">
        <v>0</v>
      </c>
      <c r="V176" s="1189">
        <v>0</v>
      </c>
      <c r="W176" s="1189">
        <v>0</v>
      </c>
      <c r="X176" s="2003">
        <v>0</v>
      </c>
      <c r="Y176" s="1616">
        <v>0</v>
      </c>
      <c r="Z176" s="2089" t="s">
        <v>72</v>
      </c>
      <c r="AA176" s="1642" t="s">
        <v>8</v>
      </c>
      <c r="AB176" s="2043" t="s">
        <v>1237</v>
      </c>
      <c r="AC176" s="2001" t="s">
        <v>79</v>
      </c>
      <c r="AD176" s="2002" t="s">
        <v>88</v>
      </c>
      <c r="AE176" s="1644" t="s">
        <v>171</v>
      </c>
      <c r="AF176" s="1644"/>
    </row>
    <row r="177" spans="1:32" ht="26.4" outlineLevel="1" x14ac:dyDescent="0.25">
      <c r="A177" s="225" t="s">
        <v>1584</v>
      </c>
      <c r="B177" s="1640" t="s">
        <v>75</v>
      </c>
      <c r="C177" s="1765" t="s">
        <v>1542</v>
      </c>
      <c r="D177" s="1642" t="s">
        <v>1657</v>
      </c>
      <c r="E177" s="1643" t="s">
        <v>14</v>
      </c>
      <c r="F177" s="1642" t="s">
        <v>14</v>
      </c>
      <c r="G177" s="1499">
        <v>30000</v>
      </c>
      <c r="H177" s="1192">
        <v>0</v>
      </c>
      <c r="I177" s="1182">
        <v>0</v>
      </c>
      <c r="J177" s="1188">
        <v>0</v>
      </c>
      <c r="K177" s="1237">
        <v>0</v>
      </c>
      <c r="L177" s="1185">
        <f t="shared" si="12"/>
        <v>0</v>
      </c>
      <c r="M177" s="1169">
        <v>0</v>
      </c>
      <c r="N177" s="229">
        <v>0</v>
      </c>
      <c r="O177" s="1617">
        <f t="shared" si="11"/>
        <v>0</v>
      </c>
      <c r="P177" s="1618">
        <v>30000</v>
      </c>
      <c r="Q177" s="1618">
        <v>0</v>
      </c>
      <c r="R177" s="1237">
        <v>0</v>
      </c>
      <c r="S177" s="1999">
        <v>0</v>
      </c>
      <c r="T177" s="1618">
        <v>0</v>
      </c>
      <c r="U177" s="1239">
        <v>0</v>
      </c>
      <c r="V177" s="1189">
        <v>0</v>
      </c>
      <c r="W177" s="1189">
        <v>0</v>
      </c>
      <c r="X177" s="2003">
        <v>0</v>
      </c>
      <c r="Y177" s="1616">
        <v>0</v>
      </c>
      <c r="Z177" s="2089" t="s">
        <v>72</v>
      </c>
      <c r="AA177" s="1642" t="s">
        <v>8</v>
      </c>
      <c r="AB177" s="2043" t="s">
        <v>1237</v>
      </c>
      <c r="AC177" s="2001" t="s">
        <v>79</v>
      </c>
      <c r="AD177" s="2002" t="s">
        <v>88</v>
      </c>
      <c r="AE177" s="1644" t="s">
        <v>167</v>
      </c>
      <c r="AF177" s="1644"/>
    </row>
    <row r="178" spans="1:32" ht="31.2" outlineLevel="1" x14ac:dyDescent="0.25">
      <c r="A178" s="225" t="s">
        <v>1586</v>
      </c>
      <c r="B178" s="1640" t="s">
        <v>75</v>
      </c>
      <c r="C178" s="1765" t="s">
        <v>1543</v>
      </c>
      <c r="D178" s="1642" t="s">
        <v>1657</v>
      </c>
      <c r="E178" s="1643" t="s">
        <v>14</v>
      </c>
      <c r="F178" s="1642" t="s">
        <v>14</v>
      </c>
      <c r="G178" s="1499">
        <v>45000</v>
      </c>
      <c r="H178" s="1192">
        <v>0</v>
      </c>
      <c r="I178" s="1182">
        <v>0</v>
      </c>
      <c r="J178" s="1188">
        <v>0</v>
      </c>
      <c r="K178" s="1237">
        <v>0</v>
      </c>
      <c r="L178" s="1185">
        <f t="shared" si="12"/>
        <v>0</v>
      </c>
      <c r="M178" s="1169">
        <v>0</v>
      </c>
      <c r="N178" s="229">
        <v>0</v>
      </c>
      <c r="O178" s="1617">
        <f t="shared" si="11"/>
        <v>0</v>
      </c>
      <c r="P178" s="1618">
        <v>45000</v>
      </c>
      <c r="Q178" s="1618">
        <v>0</v>
      </c>
      <c r="R178" s="1237">
        <v>0</v>
      </c>
      <c r="S178" s="1999">
        <v>0</v>
      </c>
      <c r="T178" s="1618">
        <v>0</v>
      </c>
      <c r="U178" s="1239">
        <v>0</v>
      </c>
      <c r="V178" s="1189">
        <v>0</v>
      </c>
      <c r="W178" s="1189">
        <v>0</v>
      </c>
      <c r="X178" s="2003">
        <v>0</v>
      </c>
      <c r="Y178" s="1616">
        <v>0</v>
      </c>
      <c r="Z178" s="2089" t="s">
        <v>72</v>
      </c>
      <c r="AA178" s="1642" t="s">
        <v>8</v>
      </c>
      <c r="AB178" s="2043" t="s">
        <v>1237</v>
      </c>
      <c r="AC178" s="2001" t="s">
        <v>79</v>
      </c>
      <c r="AD178" s="2002" t="s">
        <v>88</v>
      </c>
      <c r="AE178" s="1644" t="s">
        <v>180</v>
      </c>
      <c r="AF178" s="1644"/>
    </row>
    <row r="179" spans="1:32" ht="26.4" outlineLevel="1" x14ac:dyDescent="0.25">
      <c r="A179" s="225" t="s">
        <v>1587</v>
      </c>
      <c r="B179" s="1640" t="s">
        <v>75</v>
      </c>
      <c r="C179" s="1765" t="s">
        <v>1544</v>
      </c>
      <c r="D179" s="1642" t="s">
        <v>1657</v>
      </c>
      <c r="E179" s="1643" t="s">
        <v>14</v>
      </c>
      <c r="F179" s="1642" t="s">
        <v>14</v>
      </c>
      <c r="G179" s="1499">
        <v>45000</v>
      </c>
      <c r="H179" s="1192">
        <v>0</v>
      </c>
      <c r="I179" s="1182">
        <v>0</v>
      </c>
      <c r="J179" s="1188">
        <v>0</v>
      </c>
      <c r="K179" s="1237">
        <v>0</v>
      </c>
      <c r="L179" s="1185">
        <f t="shared" si="12"/>
        <v>0</v>
      </c>
      <c r="M179" s="1169">
        <v>0</v>
      </c>
      <c r="N179" s="229">
        <v>0</v>
      </c>
      <c r="O179" s="1617">
        <f t="shared" si="11"/>
        <v>0</v>
      </c>
      <c r="P179" s="1618">
        <v>45000</v>
      </c>
      <c r="Q179" s="1618">
        <v>0</v>
      </c>
      <c r="R179" s="1237">
        <v>0</v>
      </c>
      <c r="S179" s="1999">
        <v>0</v>
      </c>
      <c r="T179" s="1618">
        <v>0</v>
      </c>
      <c r="U179" s="1239">
        <v>0</v>
      </c>
      <c r="V179" s="1189">
        <v>0</v>
      </c>
      <c r="W179" s="1189">
        <v>0</v>
      </c>
      <c r="X179" s="2003">
        <v>0</v>
      </c>
      <c r="Y179" s="1616">
        <v>0</v>
      </c>
      <c r="Z179" s="2089" t="s">
        <v>72</v>
      </c>
      <c r="AA179" s="1642" t="s">
        <v>8</v>
      </c>
      <c r="AB179" s="2043" t="s">
        <v>1237</v>
      </c>
      <c r="AC179" s="2001" t="s">
        <v>79</v>
      </c>
      <c r="AD179" s="2002" t="s">
        <v>88</v>
      </c>
      <c r="AE179" s="1644" t="s">
        <v>180</v>
      </c>
      <c r="AF179" s="1644"/>
    </row>
    <row r="180" spans="1:32" ht="26.4" outlineLevel="1" x14ac:dyDescent="0.25">
      <c r="A180" s="225" t="s">
        <v>1588</v>
      </c>
      <c r="B180" s="1640" t="s">
        <v>75</v>
      </c>
      <c r="C180" s="1765" t="s">
        <v>1545</v>
      </c>
      <c r="D180" s="1642" t="s">
        <v>1657</v>
      </c>
      <c r="E180" s="1643" t="s">
        <v>14</v>
      </c>
      <c r="F180" s="1642" t="s">
        <v>14</v>
      </c>
      <c r="G180" s="1499">
        <v>50000</v>
      </c>
      <c r="H180" s="1192">
        <v>0</v>
      </c>
      <c r="I180" s="1182">
        <v>0</v>
      </c>
      <c r="J180" s="1188">
        <v>0</v>
      </c>
      <c r="K180" s="1237">
        <v>0</v>
      </c>
      <c r="L180" s="1185">
        <f t="shared" si="12"/>
        <v>0</v>
      </c>
      <c r="M180" s="1169">
        <v>0</v>
      </c>
      <c r="N180" s="229">
        <v>0</v>
      </c>
      <c r="O180" s="1617">
        <f t="shared" si="11"/>
        <v>0</v>
      </c>
      <c r="P180" s="1169">
        <v>10000</v>
      </c>
      <c r="Q180" s="1618">
        <v>40000</v>
      </c>
      <c r="R180" s="1237">
        <v>0</v>
      </c>
      <c r="S180" s="1999">
        <v>0</v>
      </c>
      <c r="T180" s="1618">
        <v>0</v>
      </c>
      <c r="U180" s="1239">
        <v>0</v>
      </c>
      <c r="V180" s="1189">
        <v>0</v>
      </c>
      <c r="W180" s="1189">
        <v>0</v>
      </c>
      <c r="X180" s="2003">
        <v>0</v>
      </c>
      <c r="Y180" s="1616">
        <v>0</v>
      </c>
      <c r="Z180" s="2089" t="s">
        <v>72</v>
      </c>
      <c r="AA180" s="1642" t="s">
        <v>8</v>
      </c>
      <c r="AB180" s="2043" t="s">
        <v>1237</v>
      </c>
      <c r="AC180" s="2001" t="s">
        <v>79</v>
      </c>
      <c r="AD180" s="2002" t="s">
        <v>88</v>
      </c>
      <c r="AE180" s="1644" t="s">
        <v>180</v>
      </c>
      <c r="AF180" s="1644"/>
    </row>
    <row r="181" spans="1:32" ht="26.4" outlineLevel="1" x14ac:dyDescent="0.25">
      <c r="A181" s="225" t="s">
        <v>1589</v>
      </c>
      <c r="B181" s="1640" t="s">
        <v>75</v>
      </c>
      <c r="C181" s="1765" t="s">
        <v>1546</v>
      </c>
      <c r="D181" s="1642" t="s">
        <v>1657</v>
      </c>
      <c r="E181" s="1643" t="s">
        <v>14</v>
      </c>
      <c r="F181" s="1642" t="s">
        <v>14</v>
      </c>
      <c r="G181" s="1499">
        <v>50000</v>
      </c>
      <c r="H181" s="1192">
        <v>0</v>
      </c>
      <c r="I181" s="1182">
        <v>0</v>
      </c>
      <c r="J181" s="1188">
        <v>0</v>
      </c>
      <c r="K181" s="1237">
        <v>0</v>
      </c>
      <c r="L181" s="1185">
        <f t="shared" si="12"/>
        <v>0</v>
      </c>
      <c r="M181" s="1169">
        <v>0</v>
      </c>
      <c r="N181" s="229">
        <v>0</v>
      </c>
      <c r="O181" s="1617">
        <f t="shared" si="11"/>
        <v>0</v>
      </c>
      <c r="P181" s="1169">
        <v>50000</v>
      </c>
      <c r="Q181" s="1618">
        <v>0</v>
      </c>
      <c r="R181" s="1237">
        <v>0</v>
      </c>
      <c r="S181" s="1999">
        <v>0</v>
      </c>
      <c r="T181" s="1618">
        <v>0</v>
      </c>
      <c r="U181" s="1239">
        <v>0</v>
      </c>
      <c r="V181" s="1189">
        <v>0</v>
      </c>
      <c r="W181" s="1189">
        <v>0</v>
      </c>
      <c r="X181" s="2003">
        <v>0</v>
      </c>
      <c r="Y181" s="1616">
        <v>0</v>
      </c>
      <c r="Z181" s="2089" t="s">
        <v>72</v>
      </c>
      <c r="AA181" s="1642" t="s">
        <v>8</v>
      </c>
      <c r="AB181" s="2043" t="s">
        <v>1237</v>
      </c>
      <c r="AC181" s="2001" t="s">
        <v>79</v>
      </c>
      <c r="AD181" s="2002" t="s">
        <v>88</v>
      </c>
      <c r="AE181" s="1644" t="s">
        <v>180</v>
      </c>
      <c r="AF181" s="1644"/>
    </row>
    <row r="182" spans="1:32" ht="26.4" outlineLevel="1" x14ac:dyDescent="0.25">
      <c r="A182" s="225" t="s">
        <v>1590</v>
      </c>
      <c r="B182" s="1640" t="s">
        <v>75</v>
      </c>
      <c r="C182" s="1765" t="s">
        <v>1547</v>
      </c>
      <c r="D182" s="1642" t="s">
        <v>1657</v>
      </c>
      <c r="E182" s="1643" t="s">
        <v>14</v>
      </c>
      <c r="F182" s="1642" t="s">
        <v>14</v>
      </c>
      <c r="G182" s="1499">
        <v>45000</v>
      </c>
      <c r="H182" s="1192">
        <v>0</v>
      </c>
      <c r="I182" s="1182">
        <v>0</v>
      </c>
      <c r="J182" s="1188">
        <v>0</v>
      </c>
      <c r="K182" s="1237">
        <v>0</v>
      </c>
      <c r="L182" s="1185">
        <f t="shared" si="12"/>
        <v>0</v>
      </c>
      <c r="M182" s="1169">
        <v>0</v>
      </c>
      <c r="N182" s="229">
        <v>0</v>
      </c>
      <c r="O182" s="1617">
        <f t="shared" si="11"/>
        <v>0</v>
      </c>
      <c r="P182" s="1169">
        <v>45000</v>
      </c>
      <c r="Q182" s="1618">
        <v>0</v>
      </c>
      <c r="R182" s="1237">
        <v>0</v>
      </c>
      <c r="S182" s="1999">
        <v>0</v>
      </c>
      <c r="T182" s="1618">
        <v>0</v>
      </c>
      <c r="U182" s="1239">
        <v>0</v>
      </c>
      <c r="V182" s="1189">
        <v>0</v>
      </c>
      <c r="W182" s="1189">
        <v>0</v>
      </c>
      <c r="X182" s="2003">
        <v>0</v>
      </c>
      <c r="Y182" s="1616">
        <v>0</v>
      </c>
      <c r="Z182" s="2089" t="s">
        <v>72</v>
      </c>
      <c r="AA182" s="1642" t="s">
        <v>8</v>
      </c>
      <c r="AB182" s="2043" t="s">
        <v>1237</v>
      </c>
      <c r="AC182" s="2001" t="s">
        <v>79</v>
      </c>
      <c r="AD182" s="2002" t="s">
        <v>88</v>
      </c>
      <c r="AE182" s="1644" t="s">
        <v>174</v>
      </c>
      <c r="AF182" s="1644"/>
    </row>
    <row r="183" spans="1:32" ht="26.4" outlineLevel="1" x14ac:dyDescent="0.25">
      <c r="A183" s="225" t="s">
        <v>1591</v>
      </c>
      <c r="B183" s="1640" t="s">
        <v>75</v>
      </c>
      <c r="C183" s="1765" t="s">
        <v>1548</v>
      </c>
      <c r="D183" s="1642" t="s">
        <v>1657</v>
      </c>
      <c r="E183" s="1643" t="s">
        <v>14</v>
      </c>
      <c r="F183" s="1642" t="s">
        <v>14</v>
      </c>
      <c r="G183" s="1499">
        <v>25000</v>
      </c>
      <c r="H183" s="1192">
        <v>0</v>
      </c>
      <c r="I183" s="1182">
        <v>0</v>
      </c>
      <c r="J183" s="1188">
        <v>0</v>
      </c>
      <c r="K183" s="1237">
        <v>0</v>
      </c>
      <c r="L183" s="1185">
        <f t="shared" si="12"/>
        <v>0</v>
      </c>
      <c r="M183" s="1169">
        <v>0</v>
      </c>
      <c r="N183" s="229">
        <v>0</v>
      </c>
      <c r="O183" s="1617">
        <f t="shared" si="11"/>
        <v>0</v>
      </c>
      <c r="P183" s="1169">
        <v>25000</v>
      </c>
      <c r="Q183" s="1618">
        <v>0</v>
      </c>
      <c r="R183" s="1237">
        <v>0</v>
      </c>
      <c r="S183" s="1999">
        <v>0</v>
      </c>
      <c r="T183" s="1618">
        <v>0</v>
      </c>
      <c r="U183" s="1239">
        <v>0</v>
      </c>
      <c r="V183" s="1189">
        <v>0</v>
      </c>
      <c r="W183" s="1189">
        <v>0</v>
      </c>
      <c r="X183" s="2003">
        <v>0</v>
      </c>
      <c r="Y183" s="1616">
        <v>0</v>
      </c>
      <c r="Z183" s="2089" t="s">
        <v>72</v>
      </c>
      <c r="AA183" s="1642" t="s">
        <v>8</v>
      </c>
      <c r="AB183" s="2043" t="s">
        <v>1237</v>
      </c>
      <c r="AC183" s="2001" t="s">
        <v>79</v>
      </c>
      <c r="AD183" s="2002" t="s">
        <v>88</v>
      </c>
      <c r="AE183" s="1644" t="s">
        <v>180</v>
      </c>
      <c r="AF183" s="1644"/>
    </row>
    <row r="184" spans="1:32" ht="26.4" outlineLevel="1" x14ac:dyDescent="0.25">
      <c r="A184" s="225" t="s">
        <v>1592</v>
      </c>
      <c r="B184" s="1640" t="s">
        <v>75</v>
      </c>
      <c r="C184" s="1765" t="s">
        <v>1549</v>
      </c>
      <c r="D184" s="1642" t="s">
        <v>1657</v>
      </c>
      <c r="E184" s="1643" t="s">
        <v>14</v>
      </c>
      <c r="F184" s="1642" t="s">
        <v>14</v>
      </c>
      <c r="G184" s="1499">
        <v>25000</v>
      </c>
      <c r="H184" s="1192">
        <v>0</v>
      </c>
      <c r="I184" s="1182">
        <v>0</v>
      </c>
      <c r="J184" s="1188">
        <v>0</v>
      </c>
      <c r="K184" s="1237">
        <v>0</v>
      </c>
      <c r="L184" s="1185">
        <f t="shared" si="12"/>
        <v>0</v>
      </c>
      <c r="M184" s="1169">
        <v>0</v>
      </c>
      <c r="N184" s="229">
        <v>0</v>
      </c>
      <c r="O184" s="1617">
        <f t="shared" si="11"/>
        <v>0</v>
      </c>
      <c r="P184" s="1169">
        <v>25000</v>
      </c>
      <c r="Q184" s="1618">
        <v>0</v>
      </c>
      <c r="R184" s="1237">
        <v>0</v>
      </c>
      <c r="S184" s="1999">
        <v>0</v>
      </c>
      <c r="T184" s="1618">
        <v>0</v>
      </c>
      <c r="U184" s="1239">
        <v>0</v>
      </c>
      <c r="V184" s="1189">
        <v>0</v>
      </c>
      <c r="W184" s="1189">
        <v>0</v>
      </c>
      <c r="X184" s="2003">
        <v>0</v>
      </c>
      <c r="Y184" s="1616">
        <v>0</v>
      </c>
      <c r="Z184" s="2089" t="s">
        <v>72</v>
      </c>
      <c r="AA184" s="1642" t="s">
        <v>8</v>
      </c>
      <c r="AB184" s="2043" t="s">
        <v>1237</v>
      </c>
      <c r="AC184" s="2001" t="s">
        <v>79</v>
      </c>
      <c r="AD184" s="2002" t="s">
        <v>88</v>
      </c>
      <c r="AE184" s="1644" t="s">
        <v>167</v>
      </c>
      <c r="AF184" s="1644"/>
    </row>
    <row r="185" spans="1:32" ht="26.4" outlineLevel="1" x14ac:dyDescent="0.25">
      <c r="A185" s="225" t="s">
        <v>1593</v>
      </c>
      <c r="B185" s="1640" t="s">
        <v>75</v>
      </c>
      <c r="C185" s="1765" t="s">
        <v>1550</v>
      </c>
      <c r="D185" s="1642" t="s">
        <v>1657</v>
      </c>
      <c r="E185" s="1643" t="s">
        <v>14</v>
      </c>
      <c r="F185" s="1642" t="s">
        <v>14</v>
      </c>
      <c r="G185" s="1499">
        <v>80000</v>
      </c>
      <c r="H185" s="1192">
        <v>0</v>
      </c>
      <c r="I185" s="1182">
        <v>0</v>
      </c>
      <c r="J185" s="1188">
        <v>0</v>
      </c>
      <c r="K185" s="1237">
        <v>0</v>
      </c>
      <c r="L185" s="1185">
        <f t="shared" si="12"/>
        <v>0</v>
      </c>
      <c r="M185" s="1169">
        <v>0</v>
      </c>
      <c r="N185" s="229">
        <v>0</v>
      </c>
      <c r="O185" s="1617">
        <f t="shared" si="11"/>
        <v>0</v>
      </c>
      <c r="P185" s="1169">
        <v>80000</v>
      </c>
      <c r="Q185" s="1618">
        <v>0</v>
      </c>
      <c r="R185" s="1237">
        <v>0</v>
      </c>
      <c r="S185" s="1999">
        <v>0</v>
      </c>
      <c r="T185" s="1618">
        <v>0</v>
      </c>
      <c r="U185" s="1239">
        <v>0</v>
      </c>
      <c r="V185" s="1189">
        <v>0</v>
      </c>
      <c r="W185" s="1189">
        <v>0</v>
      </c>
      <c r="X185" s="2003">
        <v>0</v>
      </c>
      <c r="Y185" s="1616">
        <v>0</v>
      </c>
      <c r="Z185" s="2089" t="s">
        <v>72</v>
      </c>
      <c r="AA185" s="1642" t="s">
        <v>8</v>
      </c>
      <c r="AB185" s="2043" t="s">
        <v>1237</v>
      </c>
      <c r="AC185" s="2001" t="s">
        <v>79</v>
      </c>
      <c r="AD185" s="2002" t="s">
        <v>88</v>
      </c>
      <c r="AE185" s="1644" t="s">
        <v>167</v>
      </c>
      <c r="AF185" s="1644"/>
    </row>
    <row r="186" spans="1:32" ht="26.4" outlineLevel="1" x14ac:dyDescent="0.25">
      <c r="A186" s="225" t="s">
        <v>1594</v>
      </c>
      <c r="B186" s="1640" t="s">
        <v>75</v>
      </c>
      <c r="C186" s="1765" t="s">
        <v>1551</v>
      </c>
      <c r="D186" s="1642" t="s">
        <v>1657</v>
      </c>
      <c r="E186" s="1643" t="s">
        <v>14</v>
      </c>
      <c r="F186" s="1642" t="s">
        <v>14</v>
      </c>
      <c r="G186" s="1499">
        <v>50000</v>
      </c>
      <c r="H186" s="1192">
        <v>0</v>
      </c>
      <c r="I186" s="1182">
        <v>0</v>
      </c>
      <c r="J186" s="1188">
        <v>0</v>
      </c>
      <c r="K186" s="1237">
        <v>0</v>
      </c>
      <c r="L186" s="1185">
        <f t="shared" si="12"/>
        <v>0</v>
      </c>
      <c r="M186" s="1169">
        <v>0</v>
      </c>
      <c r="N186" s="229">
        <v>0</v>
      </c>
      <c r="O186" s="1617">
        <f t="shared" si="11"/>
        <v>0</v>
      </c>
      <c r="P186" s="1169">
        <v>50000</v>
      </c>
      <c r="Q186" s="1618">
        <v>0</v>
      </c>
      <c r="R186" s="1237">
        <v>0</v>
      </c>
      <c r="S186" s="1999">
        <v>0</v>
      </c>
      <c r="T186" s="1618">
        <v>0</v>
      </c>
      <c r="U186" s="1239">
        <v>0</v>
      </c>
      <c r="V186" s="1189">
        <v>0</v>
      </c>
      <c r="W186" s="1189">
        <v>0</v>
      </c>
      <c r="X186" s="2003">
        <v>0</v>
      </c>
      <c r="Y186" s="1616">
        <v>0</v>
      </c>
      <c r="Z186" s="2089" t="s">
        <v>72</v>
      </c>
      <c r="AA186" s="1642" t="s">
        <v>8</v>
      </c>
      <c r="AB186" s="2043" t="s">
        <v>1237</v>
      </c>
      <c r="AC186" s="2001" t="s">
        <v>79</v>
      </c>
      <c r="AD186" s="2002" t="s">
        <v>88</v>
      </c>
      <c r="AE186" s="1644" t="s">
        <v>178</v>
      </c>
      <c r="AF186" s="1644"/>
    </row>
    <row r="187" spans="1:32" ht="26.4" outlineLevel="1" x14ac:dyDescent="0.25">
      <c r="A187" s="225" t="s">
        <v>1585</v>
      </c>
      <c r="B187" s="1640" t="s">
        <v>75</v>
      </c>
      <c r="C187" s="1765" t="s">
        <v>1552</v>
      </c>
      <c r="D187" s="1642" t="s">
        <v>1657</v>
      </c>
      <c r="E187" s="1643" t="s">
        <v>14</v>
      </c>
      <c r="F187" s="1642" t="s">
        <v>14</v>
      </c>
      <c r="G187" s="1499">
        <v>16000</v>
      </c>
      <c r="H187" s="1192">
        <v>0</v>
      </c>
      <c r="I187" s="1182">
        <v>0</v>
      </c>
      <c r="J187" s="1188">
        <v>0</v>
      </c>
      <c r="K187" s="1237">
        <v>0</v>
      </c>
      <c r="L187" s="1185">
        <f t="shared" si="12"/>
        <v>0</v>
      </c>
      <c r="M187" s="1169">
        <v>0</v>
      </c>
      <c r="N187" s="229">
        <v>0</v>
      </c>
      <c r="O187" s="1617">
        <f t="shared" si="11"/>
        <v>0</v>
      </c>
      <c r="P187" s="1169">
        <v>16000</v>
      </c>
      <c r="Q187" s="1618">
        <v>0</v>
      </c>
      <c r="R187" s="1237">
        <v>0</v>
      </c>
      <c r="S187" s="1999">
        <v>0</v>
      </c>
      <c r="T187" s="1618">
        <v>0</v>
      </c>
      <c r="U187" s="1239">
        <v>0</v>
      </c>
      <c r="V187" s="1189">
        <v>0</v>
      </c>
      <c r="W187" s="1189">
        <v>0</v>
      </c>
      <c r="X187" s="2003">
        <v>0</v>
      </c>
      <c r="Y187" s="1616">
        <v>0</v>
      </c>
      <c r="Z187" s="2089" t="s">
        <v>72</v>
      </c>
      <c r="AA187" s="1642" t="s">
        <v>8</v>
      </c>
      <c r="AB187" s="2043" t="s">
        <v>1237</v>
      </c>
      <c r="AC187" s="2001" t="s">
        <v>79</v>
      </c>
      <c r="AD187" s="2002" t="s">
        <v>88</v>
      </c>
      <c r="AE187" s="1644" t="s">
        <v>930</v>
      </c>
      <c r="AF187" s="1644"/>
    </row>
    <row r="188" spans="1:32" ht="26.4" outlineLevel="1" x14ac:dyDescent="0.25">
      <c r="A188" s="225" t="s">
        <v>1595</v>
      </c>
      <c r="B188" s="1640" t="s">
        <v>75</v>
      </c>
      <c r="C188" s="1765" t="s">
        <v>1553</v>
      </c>
      <c r="D188" s="1642" t="s">
        <v>1657</v>
      </c>
      <c r="E188" s="1643" t="s">
        <v>14</v>
      </c>
      <c r="F188" s="1642" t="s">
        <v>14</v>
      </c>
      <c r="G188" s="1499">
        <v>48000</v>
      </c>
      <c r="H188" s="1192">
        <v>0</v>
      </c>
      <c r="I188" s="1182">
        <v>0</v>
      </c>
      <c r="J188" s="1188">
        <v>0</v>
      </c>
      <c r="K188" s="1237">
        <v>0</v>
      </c>
      <c r="L188" s="1185">
        <f t="shared" si="12"/>
        <v>0</v>
      </c>
      <c r="M188" s="1169">
        <v>0</v>
      </c>
      <c r="N188" s="229">
        <v>0</v>
      </c>
      <c r="O188" s="1617">
        <f t="shared" si="11"/>
        <v>0</v>
      </c>
      <c r="P188" s="1169">
        <v>48000</v>
      </c>
      <c r="Q188" s="1618">
        <v>0</v>
      </c>
      <c r="R188" s="1237">
        <v>0</v>
      </c>
      <c r="S188" s="1999">
        <v>0</v>
      </c>
      <c r="T188" s="1618">
        <v>0</v>
      </c>
      <c r="U188" s="1239">
        <v>0</v>
      </c>
      <c r="V188" s="1189">
        <v>0</v>
      </c>
      <c r="W188" s="1189">
        <v>0</v>
      </c>
      <c r="X188" s="2003">
        <v>0</v>
      </c>
      <c r="Y188" s="1616">
        <v>0</v>
      </c>
      <c r="Z188" s="2089" t="s">
        <v>72</v>
      </c>
      <c r="AA188" s="1642" t="s">
        <v>8</v>
      </c>
      <c r="AB188" s="2043" t="s">
        <v>1237</v>
      </c>
      <c r="AC188" s="2001" t="s">
        <v>79</v>
      </c>
      <c r="AD188" s="2002" t="s">
        <v>88</v>
      </c>
      <c r="AE188" s="1644" t="s">
        <v>166</v>
      </c>
      <c r="AF188" s="1644"/>
    </row>
    <row r="189" spans="1:32" ht="26.4" outlineLevel="1" x14ac:dyDescent="0.25">
      <c r="A189" s="225" t="s">
        <v>1596</v>
      </c>
      <c r="B189" s="1640" t="s">
        <v>75</v>
      </c>
      <c r="C189" s="1765" t="s">
        <v>1554</v>
      </c>
      <c r="D189" s="1642" t="s">
        <v>1657</v>
      </c>
      <c r="E189" s="1643" t="s">
        <v>14</v>
      </c>
      <c r="F189" s="1642" t="s">
        <v>14</v>
      </c>
      <c r="G189" s="1499">
        <v>15000</v>
      </c>
      <c r="H189" s="1192">
        <v>0</v>
      </c>
      <c r="I189" s="1182">
        <v>0</v>
      </c>
      <c r="J189" s="1188">
        <v>0</v>
      </c>
      <c r="K189" s="1237">
        <v>0</v>
      </c>
      <c r="L189" s="1185">
        <f t="shared" si="12"/>
        <v>0</v>
      </c>
      <c r="M189" s="1169">
        <v>0</v>
      </c>
      <c r="N189" s="229">
        <v>0</v>
      </c>
      <c r="O189" s="1617">
        <f t="shared" si="11"/>
        <v>0</v>
      </c>
      <c r="P189" s="1169">
        <v>15000</v>
      </c>
      <c r="Q189" s="1618">
        <v>0</v>
      </c>
      <c r="R189" s="1237">
        <v>0</v>
      </c>
      <c r="S189" s="1999">
        <v>0</v>
      </c>
      <c r="T189" s="1618">
        <v>0</v>
      </c>
      <c r="U189" s="1239">
        <v>0</v>
      </c>
      <c r="V189" s="1189">
        <v>0</v>
      </c>
      <c r="W189" s="1189">
        <v>0</v>
      </c>
      <c r="X189" s="2003">
        <v>0</v>
      </c>
      <c r="Y189" s="1616">
        <v>0</v>
      </c>
      <c r="Z189" s="2089" t="s">
        <v>72</v>
      </c>
      <c r="AA189" s="1642" t="s">
        <v>8</v>
      </c>
      <c r="AB189" s="2043" t="s">
        <v>1237</v>
      </c>
      <c r="AC189" s="2001" t="s">
        <v>79</v>
      </c>
      <c r="AD189" s="2002" t="s">
        <v>88</v>
      </c>
      <c r="AE189" s="1644" t="s">
        <v>183</v>
      </c>
      <c r="AF189" s="1644"/>
    </row>
    <row r="190" spans="1:32" ht="26.4" outlineLevel="1" x14ac:dyDescent="0.25">
      <c r="A190" s="225" t="s">
        <v>1597</v>
      </c>
      <c r="B190" s="1640" t="s">
        <v>75</v>
      </c>
      <c r="C190" s="1765" t="s">
        <v>1555</v>
      </c>
      <c r="D190" s="1642" t="s">
        <v>1657</v>
      </c>
      <c r="E190" s="1643" t="s">
        <v>14</v>
      </c>
      <c r="F190" s="1642" t="s">
        <v>14</v>
      </c>
      <c r="G190" s="1499">
        <v>13000</v>
      </c>
      <c r="H190" s="1192">
        <v>0</v>
      </c>
      <c r="I190" s="1182">
        <v>0</v>
      </c>
      <c r="J190" s="1188">
        <v>0</v>
      </c>
      <c r="K190" s="1237">
        <v>0</v>
      </c>
      <c r="L190" s="1185">
        <f t="shared" si="12"/>
        <v>0</v>
      </c>
      <c r="M190" s="1169">
        <v>0</v>
      </c>
      <c r="N190" s="229">
        <v>0</v>
      </c>
      <c r="O190" s="1617">
        <f t="shared" si="11"/>
        <v>0</v>
      </c>
      <c r="P190" s="1169">
        <v>13000</v>
      </c>
      <c r="Q190" s="1618">
        <v>0</v>
      </c>
      <c r="R190" s="1237">
        <v>0</v>
      </c>
      <c r="S190" s="1999">
        <v>0</v>
      </c>
      <c r="T190" s="1618">
        <v>0</v>
      </c>
      <c r="U190" s="1239">
        <v>0</v>
      </c>
      <c r="V190" s="1189">
        <v>0</v>
      </c>
      <c r="W190" s="1189">
        <v>0</v>
      </c>
      <c r="X190" s="2003">
        <v>0</v>
      </c>
      <c r="Y190" s="1616">
        <v>0</v>
      </c>
      <c r="Z190" s="2089" t="s">
        <v>72</v>
      </c>
      <c r="AA190" s="1642" t="s">
        <v>8</v>
      </c>
      <c r="AB190" s="2043" t="s">
        <v>1237</v>
      </c>
      <c r="AC190" s="2001" t="s">
        <v>79</v>
      </c>
      <c r="AD190" s="2002" t="s">
        <v>88</v>
      </c>
      <c r="AE190" s="1644" t="s">
        <v>560</v>
      </c>
      <c r="AF190" s="1644"/>
    </row>
    <row r="191" spans="1:32" ht="31.2" outlineLevel="1" x14ac:dyDescent="0.25">
      <c r="A191" s="225" t="s">
        <v>1598</v>
      </c>
      <c r="B191" s="1640" t="s">
        <v>75</v>
      </c>
      <c r="C191" s="1765" t="s">
        <v>1556</v>
      </c>
      <c r="D191" s="1642" t="s">
        <v>1657</v>
      </c>
      <c r="E191" s="1643" t="s">
        <v>14</v>
      </c>
      <c r="F191" s="1642" t="s">
        <v>14</v>
      </c>
      <c r="G191" s="1499">
        <v>25000</v>
      </c>
      <c r="H191" s="1192">
        <v>0</v>
      </c>
      <c r="I191" s="1182">
        <v>0</v>
      </c>
      <c r="J191" s="1188">
        <v>0</v>
      </c>
      <c r="K191" s="1237">
        <v>0</v>
      </c>
      <c r="L191" s="1185">
        <f t="shared" si="12"/>
        <v>0</v>
      </c>
      <c r="M191" s="1169">
        <v>0</v>
      </c>
      <c r="N191" s="229">
        <v>0</v>
      </c>
      <c r="O191" s="1617">
        <f t="shared" si="11"/>
        <v>0</v>
      </c>
      <c r="P191" s="1169">
        <v>25000</v>
      </c>
      <c r="Q191" s="1618">
        <v>0</v>
      </c>
      <c r="R191" s="1237">
        <v>0</v>
      </c>
      <c r="S191" s="1999">
        <v>0</v>
      </c>
      <c r="T191" s="1618">
        <v>0</v>
      </c>
      <c r="U191" s="1239">
        <v>0</v>
      </c>
      <c r="V191" s="1189">
        <v>0</v>
      </c>
      <c r="W191" s="1189">
        <v>0</v>
      </c>
      <c r="X191" s="2003">
        <v>0</v>
      </c>
      <c r="Y191" s="1616">
        <v>0</v>
      </c>
      <c r="Z191" s="2089" t="s">
        <v>72</v>
      </c>
      <c r="AA191" s="1642" t="s">
        <v>8</v>
      </c>
      <c r="AB191" s="2043" t="s">
        <v>1237</v>
      </c>
      <c r="AC191" s="2001" t="s">
        <v>79</v>
      </c>
      <c r="AD191" s="2002" t="s">
        <v>88</v>
      </c>
      <c r="AE191" s="1644" t="s">
        <v>930</v>
      </c>
      <c r="AF191" s="1644"/>
    </row>
    <row r="192" spans="1:32" ht="26.4" outlineLevel="1" x14ac:dyDescent="0.25">
      <c r="A192" s="225" t="s">
        <v>1599</v>
      </c>
      <c r="B192" s="1640" t="s">
        <v>75</v>
      </c>
      <c r="C192" s="1765" t="s">
        <v>1557</v>
      </c>
      <c r="D192" s="1642" t="s">
        <v>1657</v>
      </c>
      <c r="E192" s="1643" t="s">
        <v>14</v>
      </c>
      <c r="F192" s="1642" t="s">
        <v>14</v>
      </c>
      <c r="G192" s="1499">
        <v>32000</v>
      </c>
      <c r="H192" s="1192">
        <v>0</v>
      </c>
      <c r="I192" s="1182">
        <v>0</v>
      </c>
      <c r="J192" s="1188">
        <v>0</v>
      </c>
      <c r="K192" s="1237">
        <v>0</v>
      </c>
      <c r="L192" s="1185">
        <f t="shared" si="12"/>
        <v>0</v>
      </c>
      <c r="M192" s="1169">
        <v>0</v>
      </c>
      <c r="N192" s="229">
        <v>0</v>
      </c>
      <c r="O192" s="1617">
        <f t="shared" si="11"/>
        <v>0</v>
      </c>
      <c r="P192" s="1169">
        <v>32000</v>
      </c>
      <c r="Q192" s="1618">
        <v>0</v>
      </c>
      <c r="R192" s="1237">
        <v>0</v>
      </c>
      <c r="S192" s="1999">
        <v>0</v>
      </c>
      <c r="T192" s="1618">
        <v>0</v>
      </c>
      <c r="U192" s="1239">
        <v>0</v>
      </c>
      <c r="V192" s="1189">
        <v>0</v>
      </c>
      <c r="W192" s="1189">
        <v>0</v>
      </c>
      <c r="X192" s="2003">
        <v>0</v>
      </c>
      <c r="Y192" s="1616">
        <v>0</v>
      </c>
      <c r="Z192" s="2089" t="s">
        <v>72</v>
      </c>
      <c r="AA192" s="1642" t="s">
        <v>8</v>
      </c>
      <c r="AB192" s="2043" t="s">
        <v>1237</v>
      </c>
      <c r="AC192" s="2001" t="s">
        <v>79</v>
      </c>
      <c r="AD192" s="2002" t="s">
        <v>88</v>
      </c>
      <c r="AE192" s="1644" t="s">
        <v>166</v>
      </c>
      <c r="AF192" s="1644"/>
    </row>
    <row r="193" spans="1:32" ht="26.4" outlineLevel="1" x14ac:dyDescent="0.25">
      <c r="A193" s="225" t="s">
        <v>1600</v>
      </c>
      <c r="B193" s="1640" t="s">
        <v>75</v>
      </c>
      <c r="C193" s="1765" t="s">
        <v>1558</v>
      </c>
      <c r="D193" s="1642" t="s">
        <v>1657</v>
      </c>
      <c r="E193" s="1643" t="s">
        <v>14</v>
      </c>
      <c r="F193" s="1642" t="s">
        <v>14</v>
      </c>
      <c r="G193" s="1499">
        <v>13000</v>
      </c>
      <c r="H193" s="1192">
        <v>0</v>
      </c>
      <c r="I193" s="1182">
        <v>0</v>
      </c>
      <c r="J193" s="1188">
        <v>0</v>
      </c>
      <c r="K193" s="1237">
        <v>0</v>
      </c>
      <c r="L193" s="1185">
        <f t="shared" si="12"/>
        <v>0</v>
      </c>
      <c r="M193" s="1169">
        <v>0</v>
      </c>
      <c r="N193" s="229">
        <v>0</v>
      </c>
      <c r="O193" s="1617">
        <f t="shared" si="11"/>
        <v>0</v>
      </c>
      <c r="P193" s="1169">
        <v>13000</v>
      </c>
      <c r="Q193" s="1618">
        <v>0</v>
      </c>
      <c r="R193" s="1237">
        <v>0</v>
      </c>
      <c r="S193" s="1999">
        <v>0</v>
      </c>
      <c r="T193" s="1618">
        <v>0</v>
      </c>
      <c r="U193" s="1239">
        <v>0</v>
      </c>
      <c r="V193" s="1189">
        <v>0</v>
      </c>
      <c r="W193" s="1189">
        <v>0</v>
      </c>
      <c r="X193" s="2003">
        <v>0</v>
      </c>
      <c r="Y193" s="1616">
        <v>0</v>
      </c>
      <c r="Z193" s="2089" t="s">
        <v>72</v>
      </c>
      <c r="AA193" s="1642" t="s">
        <v>8</v>
      </c>
      <c r="AB193" s="2043" t="s">
        <v>1237</v>
      </c>
      <c r="AC193" s="2001" t="s">
        <v>79</v>
      </c>
      <c r="AD193" s="2002" t="s">
        <v>88</v>
      </c>
      <c r="AE193" s="1644" t="s">
        <v>166</v>
      </c>
      <c r="AF193" s="1644"/>
    </row>
    <row r="194" spans="1:32" ht="26.4" outlineLevel="1" x14ac:dyDescent="0.25">
      <c r="A194" s="225" t="s">
        <v>1601</v>
      </c>
      <c r="B194" s="1640" t="s">
        <v>75</v>
      </c>
      <c r="C194" s="1765" t="s">
        <v>1559</v>
      </c>
      <c r="D194" s="1642" t="s">
        <v>1657</v>
      </c>
      <c r="E194" s="1643" t="s">
        <v>14</v>
      </c>
      <c r="F194" s="1642" t="s">
        <v>14</v>
      </c>
      <c r="G194" s="1499">
        <v>50000</v>
      </c>
      <c r="H194" s="1192">
        <v>0</v>
      </c>
      <c r="I194" s="1182">
        <v>0</v>
      </c>
      <c r="J194" s="1188">
        <v>0</v>
      </c>
      <c r="K194" s="1237">
        <v>0</v>
      </c>
      <c r="L194" s="1185">
        <f t="shared" si="12"/>
        <v>0</v>
      </c>
      <c r="M194" s="1169">
        <v>0</v>
      </c>
      <c r="N194" s="229">
        <v>0</v>
      </c>
      <c r="O194" s="1617">
        <f t="shared" si="11"/>
        <v>0</v>
      </c>
      <c r="P194" s="1169">
        <v>50000</v>
      </c>
      <c r="Q194" s="1618">
        <v>0</v>
      </c>
      <c r="R194" s="1237">
        <v>0</v>
      </c>
      <c r="S194" s="1999">
        <v>0</v>
      </c>
      <c r="T194" s="1618">
        <v>0</v>
      </c>
      <c r="U194" s="1239">
        <v>0</v>
      </c>
      <c r="V194" s="1189">
        <v>0</v>
      </c>
      <c r="W194" s="1189">
        <v>0</v>
      </c>
      <c r="X194" s="2003">
        <v>0</v>
      </c>
      <c r="Y194" s="1616">
        <v>0</v>
      </c>
      <c r="Z194" s="2089" t="s">
        <v>72</v>
      </c>
      <c r="AA194" s="1642" t="s">
        <v>8</v>
      </c>
      <c r="AB194" s="2043" t="s">
        <v>1237</v>
      </c>
      <c r="AC194" s="2001" t="s">
        <v>79</v>
      </c>
      <c r="AD194" s="2002" t="s">
        <v>88</v>
      </c>
      <c r="AE194" s="1644" t="s">
        <v>560</v>
      </c>
      <c r="AF194" s="1644"/>
    </row>
    <row r="195" spans="1:32" ht="31.2" outlineLevel="1" x14ac:dyDescent="0.25">
      <c r="A195" s="225" t="s">
        <v>1602</v>
      </c>
      <c r="B195" s="1640" t="s">
        <v>75</v>
      </c>
      <c r="C195" s="1765" t="s">
        <v>1560</v>
      </c>
      <c r="D195" s="1642" t="s">
        <v>1657</v>
      </c>
      <c r="E195" s="1643" t="s">
        <v>14</v>
      </c>
      <c r="F195" s="1642" t="s">
        <v>14</v>
      </c>
      <c r="G195" s="1499">
        <v>11000</v>
      </c>
      <c r="H195" s="1192">
        <v>0</v>
      </c>
      <c r="I195" s="1182">
        <v>0</v>
      </c>
      <c r="J195" s="1188">
        <v>0</v>
      </c>
      <c r="K195" s="1237">
        <v>0</v>
      </c>
      <c r="L195" s="1185">
        <f t="shared" si="12"/>
        <v>0</v>
      </c>
      <c r="M195" s="1169">
        <v>0</v>
      </c>
      <c r="N195" s="229">
        <v>0</v>
      </c>
      <c r="O195" s="1617">
        <f t="shared" si="11"/>
        <v>0</v>
      </c>
      <c r="P195" s="1169">
        <v>11000</v>
      </c>
      <c r="Q195" s="1618">
        <v>0</v>
      </c>
      <c r="R195" s="1237">
        <v>0</v>
      </c>
      <c r="S195" s="1999">
        <v>0</v>
      </c>
      <c r="T195" s="1618">
        <v>0</v>
      </c>
      <c r="U195" s="1239">
        <v>0</v>
      </c>
      <c r="V195" s="1189">
        <v>0</v>
      </c>
      <c r="W195" s="1189">
        <v>0</v>
      </c>
      <c r="X195" s="2003">
        <v>0</v>
      </c>
      <c r="Y195" s="1616">
        <v>0</v>
      </c>
      <c r="Z195" s="2089" t="s">
        <v>72</v>
      </c>
      <c r="AA195" s="1642" t="s">
        <v>8</v>
      </c>
      <c r="AB195" s="2043" t="s">
        <v>1237</v>
      </c>
      <c r="AC195" s="2001" t="s">
        <v>79</v>
      </c>
      <c r="AD195" s="2002" t="s">
        <v>88</v>
      </c>
      <c r="AE195" s="1644" t="s">
        <v>183</v>
      </c>
      <c r="AF195" s="1644"/>
    </row>
    <row r="196" spans="1:32" ht="26.4" outlineLevel="1" x14ac:dyDescent="0.25">
      <c r="A196" s="225" t="s">
        <v>1603</v>
      </c>
      <c r="B196" s="1640" t="s">
        <v>75</v>
      </c>
      <c r="C196" s="1765" t="s">
        <v>1561</v>
      </c>
      <c r="D196" s="1642" t="s">
        <v>1657</v>
      </c>
      <c r="E196" s="1643" t="s">
        <v>14</v>
      </c>
      <c r="F196" s="1642" t="s">
        <v>14</v>
      </c>
      <c r="G196" s="1499">
        <v>65000</v>
      </c>
      <c r="H196" s="1192">
        <v>0</v>
      </c>
      <c r="I196" s="1182">
        <v>0</v>
      </c>
      <c r="J196" s="1188">
        <v>0</v>
      </c>
      <c r="K196" s="1237">
        <v>0</v>
      </c>
      <c r="L196" s="1185">
        <f t="shared" si="12"/>
        <v>0</v>
      </c>
      <c r="M196" s="1169">
        <v>0</v>
      </c>
      <c r="N196" s="229">
        <v>0</v>
      </c>
      <c r="O196" s="1617">
        <f t="shared" si="11"/>
        <v>0</v>
      </c>
      <c r="P196" s="1169">
        <v>65000</v>
      </c>
      <c r="Q196" s="1618">
        <v>0</v>
      </c>
      <c r="R196" s="1237">
        <v>0</v>
      </c>
      <c r="S196" s="1999">
        <v>0</v>
      </c>
      <c r="T196" s="1618">
        <v>0</v>
      </c>
      <c r="U196" s="1239">
        <v>0</v>
      </c>
      <c r="V196" s="1189">
        <v>0</v>
      </c>
      <c r="W196" s="1189">
        <v>0</v>
      </c>
      <c r="X196" s="2003">
        <v>0</v>
      </c>
      <c r="Y196" s="1616">
        <v>0</v>
      </c>
      <c r="Z196" s="2089" t="s">
        <v>72</v>
      </c>
      <c r="AA196" s="1642" t="s">
        <v>8</v>
      </c>
      <c r="AB196" s="2043" t="s">
        <v>1237</v>
      </c>
      <c r="AC196" s="2001" t="s">
        <v>79</v>
      </c>
      <c r="AD196" s="2002" t="s">
        <v>88</v>
      </c>
      <c r="AE196" s="1644" t="s">
        <v>166</v>
      </c>
      <c r="AF196" s="1644"/>
    </row>
    <row r="197" spans="1:32" ht="26.4" outlineLevel="1" x14ac:dyDescent="0.25">
      <c r="A197" s="225" t="s">
        <v>1604</v>
      </c>
      <c r="B197" s="1640" t="s">
        <v>75</v>
      </c>
      <c r="C197" s="1765" t="s">
        <v>1562</v>
      </c>
      <c r="D197" s="1642" t="s">
        <v>1657</v>
      </c>
      <c r="E197" s="1643" t="s">
        <v>14</v>
      </c>
      <c r="F197" s="1642" t="s">
        <v>14</v>
      </c>
      <c r="G197" s="1499">
        <v>25000</v>
      </c>
      <c r="H197" s="1192">
        <v>0</v>
      </c>
      <c r="I197" s="1182">
        <v>0</v>
      </c>
      <c r="J197" s="1188">
        <v>0</v>
      </c>
      <c r="K197" s="1237">
        <v>0</v>
      </c>
      <c r="L197" s="1185">
        <f t="shared" ref="L197:L220" si="13">O197-K197</f>
        <v>0</v>
      </c>
      <c r="M197" s="1169">
        <v>0</v>
      </c>
      <c r="N197" s="229">
        <v>0</v>
      </c>
      <c r="O197" s="1617">
        <f t="shared" si="11"/>
        <v>0</v>
      </c>
      <c r="P197" s="1169">
        <v>25000</v>
      </c>
      <c r="Q197" s="1618">
        <v>0</v>
      </c>
      <c r="R197" s="1237">
        <v>0</v>
      </c>
      <c r="S197" s="1999">
        <v>0</v>
      </c>
      <c r="T197" s="1618">
        <v>0</v>
      </c>
      <c r="U197" s="1239">
        <v>0</v>
      </c>
      <c r="V197" s="1189">
        <v>0</v>
      </c>
      <c r="W197" s="1189">
        <v>0</v>
      </c>
      <c r="X197" s="2003">
        <v>0</v>
      </c>
      <c r="Y197" s="1616">
        <v>0</v>
      </c>
      <c r="Z197" s="2089" t="s">
        <v>72</v>
      </c>
      <c r="AA197" s="1642" t="s">
        <v>8</v>
      </c>
      <c r="AB197" s="2043" t="s">
        <v>1237</v>
      </c>
      <c r="AC197" s="2001" t="s">
        <v>79</v>
      </c>
      <c r="AD197" s="2002" t="s">
        <v>88</v>
      </c>
      <c r="AE197" s="1644" t="s">
        <v>166</v>
      </c>
      <c r="AF197" s="1644"/>
    </row>
    <row r="198" spans="1:32" ht="26.4" outlineLevel="1" x14ac:dyDescent="0.25">
      <c r="A198" s="225" t="s">
        <v>1605</v>
      </c>
      <c r="B198" s="1640" t="s">
        <v>75</v>
      </c>
      <c r="C198" s="1765" t="s">
        <v>1563</v>
      </c>
      <c r="D198" s="1642" t="s">
        <v>1657</v>
      </c>
      <c r="E198" s="1643" t="s">
        <v>14</v>
      </c>
      <c r="F198" s="1642" t="s">
        <v>14</v>
      </c>
      <c r="G198" s="1499">
        <v>12000</v>
      </c>
      <c r="H198" s="1192">
        <v>0</v>
      </c>
      <c r="I198" s="1182">
        <v>0</v>
      </c>
      <c r="J198" s="1188">
        <v>0</v>
      </c>
      <c r="K198" s="1237">
        <v>0</v>
      </c>
      <c r="L198" s="1185">
        <f t="shared" si="13"/>
        <v>0</v>
      </c>
      <c r="M198" s="1169">
        <v>0</v>
      </c>
      <c r="N198" s="229">
        <v>0</v>
      </c>
      <c r="O198" s="1617">
        <f t="shared" si="11"/>
        <v>0</v>
      </c>
      <c r="P198" s="1169">
        <v>12000</v>
      </c>
      <c r="Q198" s="1618">
        <v>0</v>
      </c>
      <c r="R198" s="1237">
        <v>0</v>
      </c>
      <c r="S198" s="1999">
        <v>0</v>
      </c>
      <c r="T198" s="1618">
        <v>0</v>
      </c>
      <c r="U198" s="1239">
        <v>0</v>
      </c>
      <c r="V198" s="1189">
        <v>0</v>
      </c>
      <c r="W198" s="1189">
        <v>0</v>
      </c>
      <c r="X198" s="2003">
        <v>0</v>
      </c>
      <c r="Y198" s="1616">
        <v>0</v>
      </c>
      <c r="Z198" s="2089" t="s">
        <v>72</v>
      </c>
      <c r="AA198" s="1642" t="s">
        <v>8</v>
      </c>
      <c r="AB198" s="2043" t="s">
        <v>1237</v>
      </c>
      <c r="AC198" s="2001" t="s">
        <v>79</v>
      </c>
      <c r="AD198" s="2002" t="s">
        <v>88</v>
      </c>
      <c r="AE198" s="1644" t="s">
        <v>177</v>
      </c>
      <c r="AF198" s="1644"/>
    </row>
    <row r="199" spans="1:32" ht="26.4" outlineLevel="1" x14ac:dyDescent="0.25">
      <c r="A199" s="225" t="s">
        <v>1606</v>
      </c>
      <c r="B199" s="1640" t="s">
        <v>75</v>
      </c>
      <c r="C199" s="1765" t="s">
        <v>1564</v>
      </c>
      <c r="D199" s="1642" t="s">
        <v>1657</v>
      </c>
      <c r="E199" s="1643" t="s">
        <v>14</v>
      </c>
      <c r="F199" s="1642" t="s">
        <v>14</v>
      </c>
      <c r="G199" s="1499">
        <v>15000</v>
      </c>
      <c r="H199" s="1192">
        <v>0</v>
      </c>
      <c r="I199" s="1182">
        <v>0</v>
      </c>
      <c r="J199" s="1188">
        <v>0</v>
      </c>
      <c r="K199" s="1237">
        <v>0</v>
      </c>
      <c r="L199" s="1185">
        <f t="shared" si="13"/>
        <v>0</v>
      </c>
      <c r="M199" s="1169">
        <v>0</v>
      </c>
      <c r="N199" s="229">
        <v>0</v>
      </c>
      <c r="O199" s="1617">
        <f t="shared" si="11"/>
        <v>0</v>
      </c>
      <c r="P199" s="1169">
        <v>15000</v>
      </c>
      <c r="Q199" s="1618">
        <v>0</v>
      </c>
      <c r="R199" s="1237">
        <v>0</v>
      </c>
      <c r="S199" s="1999">
        <v>0</v>
      </c>
      <c r="T199" s="1618">
        <v>0</v>
      </c>
      <c r="U199" s="1239">
        <v>0</v>
      </c>
      <c r="V199" s="1189">
        <v>0</v>
      </c>
      <c r="W199" s="1189">
        <v>0</v>
      </c>
      <c r="X199" s="2003">
        <v>0</v>
      </c>
      <c r="Y199" s="1616">
        <v>0</v>
      </c>
      <c r="Z199" s="2089" t="s">
        <v>72</v>
      </c>
      <c r="AA199" s="1642" t="s">
        <v>8</v>
      </c>
      <c r="AB199" s="2043" t="s">
        <v>1237</v>
      </c>
      <c r="AC199" s="2001" t="s">
        <v>79</v>
      </c>
      <c r="AD199" s="2002" t="s">
        <v>88</v>
      </c>
      <c r="AE199" s="1644" t="s">
        <v>177</v>
      </c>
      <c r="AF199" s="1644"/>
    </row>
    <row r="200" spans="1:32" ht="26.4" outlineLevel="1" x14ac:dyDescent="0.25">
      <c r="A200" s="225" t="s">
        <v>1607</v>
      </c>
      <c r="B200" s="1640" t="s">
        <v>75</v>
      </c>
      <c r="C200" s="1765" t="s">
        <v>1565</v>
      </c>
      <c r="D200" s="1642" t="s">
        <v>1657</v>
      </c>
      <c r="E200" s="1643" t="s">
        <v>14</v>
      </c>
      <c r="F200" s="1642" t="s">
        <v>14</v>
      </c>
      <c r="G200" s="1499">
        <v>15000</v>
      </c>
      <c r="H200" s="1192">
        <v>0</v>
      </c>
      <c r="I200" s="1182">
        <v>0</v>
      </c>
      <c r="J200" s="1188">
        <v>0</v>
      </c>
      <c r="K200" s="1237">
        <v>0</v>
      </c>
      <c r="L200" s="1185">
        <f t="shared" si="13"/>
        <v>0</v>
      </c>
      <c r="M200" s="1169">
        <v>0</v>
      </c>
      <c r="N200" s="229">
        <v>0</v>
      </c>
      <c r="O200" s="1617">
        <f t="shared" si="11"/>
        <v>0</v>
      </c>
      <c r="P200" s="1169">
        <v>15000</v>
      </c>
      <c r="Q200" s="1618">
        <v>0</v>
      </c>
      <c r="R200" s="1237">
        <v>0</v>
      </c>
      <c r="S200" s="1999">
        <v>0</v>
      </c>
      <c r="T200" s="1618">
        <v>0</v>
      </c>
      <c r="U200" s="1239">
        <v>0</v>
      </c>
      <c r="V200" s="1189">
        <v>0</v>
      </c>
      <c r="W200" s="1189">
        <v>0</v>
      </c>
      <c r="X200" s="2003">
        <v>0</v>
      </c>
      <c r="Y200" s="1616">
        <v>0</v>
      </c>
      <c r="Z200" s="2089" t="s">
        <v>72</v>
      </c>
      <c r="AA200" s="1642" t="s">
        <v>8</v>
      </c>
      <c r="AB200" s="2043" t="s">
        <v>1237</v>
      </c>
      <c r="AC200" s="2001" t="s">
        <v>79</v>
      </c>
      <c r="AD200" s="2002" t="s">
        <v>88</v>
      </c>
      <c r="AE200" s="1644" t="s">
        <v>170</v>
      </c>
      <c r="AF200" s="1644"/>
    </row>
    <row r="201" spans="1:32" ht="26.4" outlineLevel="1" x14ac:dyDescent="0.25">
      <c r="A201" s="225" t="s">
        <v>1608</v>
      </c>
      <c r="B201" s="1640" t="s">
        <v>75</v>
      </c>
      <c r="C201" s="1765" t="s">
        <v>1566</v>
      </c>
      <c r="D201" s="1642" t="s">
        <v>1657</v>
      </c>
      <c r="E201" s="1643" t="s">
        <v>14</v>
      </c>
      <c r="F201" s="1642" t="s">
        <v>14</v>
      </c>
      <c r="G201" s="1499">
        <v>23000</v>
      </c>
      <c r="H201" s="1192">
        <v>0</v>
      </c>
      <c r="I201" s="1182">
        <v>0</v>
      </c>
      <c r="J201" s="1188">
        <v>0</v>
      </c>
      <c r="K201" s="1237">
        <v>0</v>
      </c>
      <c r="L201" s="1185">
        <f t="shared" si="13"/>
        <v>0</v>
      </c>
      <c r="M201" s="1169">
        <v>0</v>
      </c>
      <c r="N201" s="229">
        <v>0</v>
      </c>
      <c r="O201" s="1617">
        <f t="shared" si="11"/>
        <v>0</v>
      </c>
      <c r="P201" s="1169">
        <v>23000</v>
      </c>
      <c r="Q201" s="1618">
        <v>0</v>
      </c>
      <c r="R201" s="1237">
        <v>0</v>
      </c>
      <c r="S201" s="1999">
        <v>0</v>
      </c>
      <c r="T201" s="1618">
        <v>0</v>
      </c>
      <c r="U201" s="1239">
        <v>0</v>
      </c>
      <c r="V201" s="1189">
        <v>0</v>
      </c>
      <c r="W201" s="1189">
        <v>0</v>
      </c>
      <c r="X201" s="2003">
        <v>0</v>
      </c>
      <c r="Y201" s="1616">
        <v>0</v>
      </c>
      <c r="Z201" s="2089" t="s">
        <v>72</v>
      </c>
      <c r="AA201" s="1642" t="s">
        <v>8</v>
      </c>
      <c r="AB201" s="2043" t="s">
        <v>1237</v>
      </c>
      <c r="AC201" s="2001" t="s">
        <v>79</v>
      </c>
      <c r="AD201" s="2002" t="s">
        <v>88</v>
      </c>
      <c r="AE201" s="1644" t="s">
        <v>183</v>
      </c>
      <c r="AF201" s="1644"/>
    </row>
    <row r="202" spans="1:32" ht="26.4" outlineLevel="1" x14ac:dyDescent="0.25">
      <c r="A202" s="225" t="s">
        <v>1609</v>
      </c>
      <c r="B202" s="1640" t="s">
        <v>75</v>
      </c>
      <c r="C202" s="1765" t="s">
        <v>1567</v>
      </c>
      <c r="D202" s="1642" t="s">
        <v>1657</v>
      </c>
      <c r="E202" s="1643" t="s">
        <v>14</v>
      </c>
      <c r="F202" s="1642" t="s">
        <v>14</v>
      </c>
      <c r="G202" s="1499">
        <v>30000</v>
      </c>
      <c r="H202" s="1192">
        <v>0</v>
      </c>
      <c r="I202" s="1182">
        <v>0</v>
      </c>
      <c r="J202" s="1188">
        <v>0</v>
      </c>
      <c r="K202" s="1237">
        <v>0</v>
      </c>
      <c r="L202" s="1185">
        <f t="shared" si="13"/>
        <v>0</v>
      </c>
      <c r="M202" s="1169">
        <v>0</v>
      </c>
      <c r="N202" s="229">
        <v>0</v>
      </c>
      <c r="O202" s="1617">
        <f t="shared" si="11"/>
        <v>0</v>
      </c>
      <c r="P202" s="1169">
        <v>30000</v>
      </c>
      <c r="Q202" s="1618">
        <v>0</v>
      </c>
      <c r="R202" s="1237">
        <v>0</v>
      </c>
      <c r="S202" s="1999">
        <v>0</v>
      </c>
      <c r="T202" s="1618">
        <v>0</v>
      </c>
      <c r="U202" s="1239">
        <v>0</v>
      </c>
      <c r="V202" s="1189">
        <v>0</v>
      </c>
      <c r="W202" s="1189">
        <v>0</v>
      </c>
      <c r="X202" s="2003">
        <v>0</v>
      </c>
      <c r="Y202" s="1616">
        <v>0</v>
      </c>
      <c r="Z202" s="2089" t="s">
        <v>72</v>
      </c>
      <c r="AA202" s="1642" t="s">
        <v>8</v>
      </c>
      <c r="AB202" s="2043" t="s">
        <v>1237</v>
      </c>
      <c r="AC202" s="2001" t="s">
        <v>79</v>
      </c>
      <c r="AD202" s="2002" t="s">
        <v>88</v>
      </c>
      <c r="AE202" s="1644" t="s">
        <v>170</v>
      </c>
      <c r="AF202" s="1644"/>
    </row>
    <row r="203" spans="1:32" ht="26.4" outlineLevel="1" x14ac:dyDescent="0.25">
      <c r="A203" s="225" t="s">
        <v>1610</v>
      </c>
      <c r="B203" s="1640" t="s">
        <v>75</v>
      </c>
      <c r="C203" s="1765" t="s">
        <v>1568</v>
      </c>
      <c r="D203" s="1642" t="s">
        <v>1657</v>
      </c>
      <c r="E203" s="1643" t="s">
        <v>14</v>
      </c>
      <c r="F203" s="1642" t="s">
        <v>14</v>
      </c>
      <c r="G203" s="1499">
        <v>20000</v>
      </c>
      <c r="H203" s="1192">
        <v>0</v>
      </c>
      <c r="I203" s="1182">
        <v>0</v>
      </c>
      <c r="J203" s="1188">
        <v>0</v>
      </c>
      <c r="K203" s="1237">
        <v>0</v>
      </c>
      <c r="L203" s="1185">
        <f t="shared" si="13"/>
        <v>0</v>
      </c>
      <c r="M203" s="1169">
        <v>0</v>
      </c>
      <c r="N203" s="229">
        <v>0</v>
      </c>
      <c r="O203" s="1617">
        <f t="shared" si="11"/>
        <v>0</v>
      </c>
      <c r="P203" s="1169">
        <v>20000</v>
      </c>
      <c r="Q203" s="1618">
        <v>0</v>
      </c>
      <c r="R203" s="1237">
        <v>0</v>
      </c>
      <c r="S203" s="1999">
        <v>0</v>
      </c>
      <c r="T203" s="1618">
        <v>0</v>
      </c>
      <c r="U203" s="1239">
        <v>0</v>
      </c>
      <c r="V203" s="1189">
        <v>0</v>
      </c>
      <c r="W203" s="1189">
        <v>0</v>
      </c>
      <c r="X203" s="2003">
        <v>0</v>
      </c>
      <c r="Y203" s="1616">
        <v>0</v>
      </c>
      <c r="Z203" s="2089" t="s">
        <v>72</v>
      </c>
      <c r="AA203" s="1642" t="s">
        <v>8</v>
      </c>
      <c r="AB203" s="2043" t="s">
        <v>1237</v>
      </c>
      <c r="AC203" s="2001" t="s">
        <v>79</v>
      </c>
      <c r="AD203" s="2002" t="s">
        <v>88</v>
      </c>
      <c r="AE203" s="1644" t="s">
        <v>560</v>
      </c>
      <c r="AF203" s="1644"/>
    </row>
    <row r="204" spans="1:32" ht="26.4" outlineLevel="1" x14ac:dyDescent="0.25">
      <c r="A204" s="225" t="s">
        <v>1611</v>
      </c>
      <c r="B204" s="1640" t="s">
        <v>75</v>
      </c>
      <c r="C204" s="1765" t="s">
        <v>1577</v>
      </c>
      <c r="D204" s="1642" t="s">
        <v>1657</v>
      </c>
      <c r="E204" s="1643" t="s">
        <v>14</v>
      </c>
      <c r="F204" s="1642" t="s">
        <v>14</v>
      </c>
      <c r="G204" s="1499">
        <v>700</v>
      </c>
      <c r="H204" s="1192">
        <v>0</v>
      </c>
      <c r="I204" s="1182">
        <v>0</v>
      </c>
      <c r="J204" s="1188">
        <v>0</v>
      </c>
      <c r="K204" s="1237">
        <v>0</v>
      </c>
      <c r="L204" s="1185">
        <f t="shared" si="13"/>
        <v>0</v>
      </c>
      <c r="M204" s="1169">
        <v>0</v>
      </c>
      <c r="N204" s="229">
        <v>0</v>
      </c>
      <c r="O204" s="1617">
        <f t="shared" si="11"/>
        <v>0</v>
      </c>
      <c r="P204" s="1169">
        <v>700</v>
      </c>
      <c r="Q204" s="1618">
        <v>0</v>
      </c>
      <c r="R204" s="1237">
        <v>0</v>
      </c>
      <c r="S204" s="1999">
        <v>0</v>
      </c>
      <c r="T204" s="1618">
        <v>0</v>
      </c>
      <c r="U204" s="1239">
        <v>0</v>
      </c>
      <c r="V204" s="1189">
        <v>0</v>
      </c>
      <c r="W204" s="1189">
        <v>0</v>
      </c>
      <c r="X204" s="2003">
        <v>0</v>
      </c>
      <c r="Y204" s="1616">
        <v>0</v>
      </c>
      <c r="Z204" s="2089" t="s">
        <v>72</v>
      </c>
      <c r="AA204" s="1642" t="s">
        <v>8</v>
      </c>
      <c r="AB204" s="2043" t="s">
        <v>1237</v>
      </c>
      <c r="AC204" s="2001" t="s">
        <v>79</v>
      </c>
      <c r="AD204" s="2002" t="s">
        <v>88</v>
      </c>
      <c r="AE204" s="1644" t="s">
        <v>560</v>
      </c>
      <c r="AF204" s="1644"/>
    </row>
    <row r="205" spans="1:32" ht="31.2" outlineLevel="1" x14ac:dyDescent="0.25">
      <c r="A205" s="393" t="s">
        <v>1612</v>
      </c>
      <c r="B205" s="1143" t="s">
        <v>75</v>
      </c>
      <c r="C205" s="431" t="s">
        <v>1569</v>
      </c>
      <c r="D205" s="317" t="s">
        <v>1657</v>
      </c>
      <c r="E205" s="345" t="s">
        <v>14</v>
      </c>
      <c r="F205" s="317" t="s">
        <v>14</v>
      </c>
      <c r="G205" s="262">
        <v>0</v>
      </c>
      <c r="H205" s="396">
        <v>0</v>
      </c>
      <c r="I205" s="397">
        <v>0</v>
      </c>
      <c r="J205" s="398">
        <v>0</v>
      </c>
      <c r="K205" s="346">
        <v>0</v>
      </c>
      <c r="L205" s="432">
        <f t="shared" si="13"/>
        <v>0</v>
      </c>
      <c r="M205" s="263">
        <v>91000</v>
      </c>
      <c r="N205" s="264">
        <v>-91000</v>
      </c>
      <c r="O205" s="264">
        <f t="shared" si="11"/>
        <v>0</v>
      </c>
      <c r="P205" s="263">
        <v>0</v>
      </c>
      <c r="Q205" s="349">
        <v>0</v>
      </c>
      <c r="R205" s="346">
        <v>0</v>
      </c>
      <c r="S205" s="347">
        <v>0</v>
      </c>
      <c r="T205" s="349">
        <v>0</v>
      </c>
      <c r="U205" s="265">
        <v>0</v>
      </c>
      <c r="V205" s="338">
        <v>0</v>
      </c>
      <c r="W205" s="338">
        <v>0</v>
      </c>
      <c r="X205" s="266">
        <v>0</v>
      </c>
      <c r="Y205" s="337">
        <v>0</v>
      </c>
      <c r="Z205" s="342" t="s">
        <v>1957</v>
      </c>
      <c r="AA205" s="317" t="s">
        <v>81</v>
      </c>
      <c r="AB205" s="350" t="s">
        <v>533</v>
      </c>
      <c r="AC205" s="433" t="s">
        <v>80</v>
      </c>
      <c r="AD205" s="318" t="s">
        <v>88</v>
      </c>
      <c r="AE205" s="354" t="s">
        <v>181</v>
      </c>
      <c r="AF205" s="354"/>
    </row>
    <row r="206" spans="1:32" ht="31.2" outlineLevel="1" x14ac:dyDescent="0.25">
      <c r="A206" s="225" t="s">
        <v>1613</v>
      </c>
      <c r="B206" s="1640" t="s">
        <v>75</v>
      </c>
      <c r="C206" s="1765" t="s">
        <v>1570</v>
      </c>
      <c r="D206" s="1642" t="s">
        <v>1657</v>
      </c>
      <c r="E206" s="1643" t="s">
        <v>14</v>
      </c>
      <c r="F206" s="1642" t="s">
        <v>14</v>
      </c>
      <c r="G206" s="1499">
        <v>113382</v>
      </c>
      <c r="H206" s="1192">
        <v>0</v>
      </c>
      <c r="I206" s="1182">
        <v>0</v>
      </c>
      <c r="J206" s="1188">
        <v>0</v>
      </c>
      <c r="K206" s="1237">
        <v>0</v>
      </c>
      <c r="L206" s="1185">
        <f t="shared" si="13"/>
        <v>10000</v>
      </c>
      <c r="M206" s="1169">
        <v>10000</v>
      </c>
      <c r="N206" s="229">
        <v>0</v>
      </c>
      <c r="O206" s="1617">
        <f t="shared" si="11"/>
        <v>10000</v>
      </c>
      <c r="P206" s="1169">
        <v>80000</v>
      </c>
      <c r="Q206" s="1618">
        <v>23382</v>
      </c>
      <c r="R206" s="1237">
        <v>0</v>
      </c>
      <c r="S206" s="1999">
        <v>0</v>
      </c>
      <c r="T206" s="1618">
        <v>0</v>
      </c>
      <c r="U206" s="1239">
        <v>0</v>
      </c>
      <c r="V206" s="1189">
        <v>0</v>
      </c>
      <c r="W206" s="1189">
        <v>0</v>
      </c>
      <c r="X206" s="2003">
        <v>0</v>
      </c>
      <c r="Y206" s="1616">
        <v>0</v>
      </c>
      <c r="Z206" s="2089" t="s">
        <v>72</v>
      </c>
      <c r="AA206" s="1642" t="s">
        <v>8</v>
      </c>
      <c r="AB206" s="2043" t="s">
        <v>1237</v>
      </c>
      <c r="AC206" s="2001" t="s">
        <v>79</v>
      </c>
      <c r="AD206" s="2002" t="s">
        <v>88</v>
      </c>
      <c r="AE206" s="1644" t="s">
        <v>177</v>
      </c>
      <c r="AF206" s="1644"/>
    </row>
    <row r="207" spans="1:32" ht="31.2" outlineLevel="1" x14ac:dyDescent="0.25">
      <c r="A207" s="225" t="s">
        <v>1614</v>
      </c>
      <c r="B207" s="1640" t="s">
        <v>75</v>
      </c>
      <c r="C207" s="1765" t="s">
        <v>1571</v>
      </c>
      <c r="D207" s="1642" t="s">
        <v>1657</v>
      </c>
      <c r="E207" s="1643" t="s">
        <v>14</v>
      </c>
      <c r="F207" s="1642" t="s">
        <v>14</v>
      </c>
      <c r="G207" s="1499">
        <v>135018</v>
      </c>
      <c r="H207" s="1192">
        <v>0</v>
      </c>
      <c r="I207" s="1182">
        <v>0</v>
      </c>
      <c r="J207" s="1188">
        <v>0</v>
      </c>
      <c r="K207" s="1237">
        <v>0</v>
      </c>
      <c r="L207" s="1185">
        <f t="shared" si="13"/>
        <v>20000</v>
      </c>
      <c r="M207" s="1169">
        <v>20000</v>
      </c>
      <c r="N207" s="229">
        <v>0</v>
      </c>
      <c r="O207" s="1617">
        <f t="shared" si="11"/>
        <v>20000</v>
      </c>
      <c r="P207" s="1169">
        <v>80000</v>
      </c>
      <c r="Q207" s="1618">
        <v>35018</v>
      </c>
      <c r="R207" s="1237">
        <v>0</v>
      </c>
      <c r="S207" s="1999">
        <v>0</v>
      </c>
      <c r="T207" s="1618">
        <v>0</v>
      </c>
      <c r="U207" s="1239">
        <v>0</v>
      </c>
      <c r="V207" s="1189">
        <v>0</v>
      </c>
      <c r="W207" s="1189">
        <v>0</v>
      </c>
      <c r="X207" s="2003">
        <v>0</v>
      </c>
      <c r="Y207" s="1616">
        <v>0</v>
      </c>
      <c r="Z207" s="2089" t="s">
        <v>72</v>
      </c>
      <c r="AA207" s="1642" t="s">
        <v>8</v>
      </c>
      <c r="AB207" s="2043" t="s">
        <v>1237</v>
      </c>
      <c r="AC207" s="2001" t="s">
        <v>79</v>
      </c>
      <c r="AD207" s="2002" t="s">
        <v>88</v>
      </c>
      <c r="AE207" s="1644" t="s">
        <v>167</v>
      </c>
      <c r="AF207" s="1644"/>
    </row>
    <row r="208" spans="1:32" ht="26.4" outlineLevel="1" x14ac:dyDescent="0.25">
      <c r="A208" s="225" t="s">
        <v>1615</v>
      </c>
      <c r="B208" s="1640" t="s">
        <v>75</v>
      </c>
      <c r="C208" s="1765" t="s">
        <v>1572</v>
      </c>
      <c r="D208" s="1642" t="s">
        <v>1657</v>
      </c>
      <c r="E208" s="1643" t="s">
        <v>14</v>
      </c>
      <c r="F208" s="1642" t="s">
        <v>14</v>
      </c>
      <c r="G208" s="1499">
        <v>324000</v>
      </c>
      <c r="H208" s="1192">
        <v>0</v>
      </c>
      <c r="I208" s="1182">
        <v>0</v>
      </c>
      <c r="J208" s="1188">
        <v>0</v>
      </c>
      <c r="K208" s="1237">
        <v>0</v>
      </c>
      <c r="L208" s="1185">
        <f t="shared" si="13"/>
        <v>0</v>
      </c>
      <c r="M208" s="1169">
        <v>0</v>
      </c>
      <c r="N208" s="229">
        <v>0</v>
      </c>
      <c r="O208" s="1617">
        <f t="shared" si="11"/>
        <v>0</v>
      </c>
      <c r="P208" s="1169">
        <v>80000</v>
      </c>
      <c r="Q208" s="1618">
        <v>244000</v>
      </c>
      <c r="R208" s="1237">
        <v>0</v>
      </c>
      <c r="S208" s="1999">
        <v>0</v>
      </c>
      <c r="T208" s="1618">
        <v>0</v>
      </c>
      <c r="U208" s="1239">
        <v>0</v>
      </c>
      <c r="V208" s="1189">
        <v>0</v>
      </c>
      <c r="W208" s="1189">
        <v>0</v>
      </c>
      <c r="X208" s="2003">
        <v>0</v>
      </c>
      <c r="Y208" s="1616">
        <v>0</v>
      </c>
      <c r="Z208" s="2089" t="s">
        <v>72</v>
      </c>
      <c r="AA208" s="1642" t="s">
        <v>8</v>
      </c>
      <c r="AB208" s="2043" t="s">
        <v>1237</v>
      </c>
      <c r="AC208" s="2001" t="s">
        <v>79</v>
      </c>
      <c r="AD208" s="2002" t="s">
        <v>88</v>
      </c>
      <c r="AE208" s="1644" t="s">
        <v>172</v>
      </c>
      <c r="AF208" s="1644"/>
    </row>
    <row r="209" spans="1:32" ht="26.4" outlineLevel="1" x14ac:dyDescent="0.25">
      <c r="A209" s="225" t="s">
        <v>1616</v>
      </c>
      <c r="B209" s="1640" t="s">
        <v>75</v>
      </c>
      <c r="C209" s="1765" t="s">
        <v>1573</v>
      </c>
      <c r="D209" s="1642" t="s">
        <v>1657</v>
      </c>
      <c r="E209" s="1643" t="s">
        <v>14</v>
      </c>
      <c r="F209" s="1642" t="s">
        <v>14</v>
      </c>
      <c r="G209" s="1499">
        <v>108900</v>
      </c>
      <c r="H209" s="1192">
        <v>0</v>
      </c>
      <c r="I209" s="1182">
        <v>0</v>
      </c>
      <c r="J209" s="1188">
        <v>0</v>
      </c>
      <c r="K209" s="1237">
        <v>0</v>
      </c>
      <c r="L209" s="1185">
        <f t="shared" si="13"/>
        <v>1000</v>
      </c>
      <c r="M209" s="1169">
        <v>1000</v>
      </c>
      <c r="N209" s="229">
        <v>0</v>
      </c>
      <c r="O209" s="1617">
        <f t="shared" si="11"/>
        <v>1000</v>
      </c>
      <c r="P209" s="1169">
        <v>77900</v>
      </c>
      <c r="Q209" s="1618">
        <v>30000</v>
      </c>
      <c r="R209" s="1237">
        <v>0</v>
      </c>
      <c r="S209" s="1999">
        <v>0</v>
      </c>
      <c r="T209" s="1618">
        <v>0</v>
      </c>
      <c r="U209" s="1239">
        <v>0</v>
      </c>
      <c r="V209" s="1189">
        <v>0</v>
      </c>
      <c r="W209" s="1189">
        <v>0</v>
      </c>
      <c r="X209" s="2003">
        <v>0</v>
      </c>
      <c r="Y209" s="1616">
        <v>0</v>
      </c>
      <c r="Z209" s="2089" t="s">
        <v>72</v>
      </c>
      <c r="AA209" s="1642" t="s">
        <v>8</v>
      </c>
      <c r="AB209" s="2043" t="s">
        <v>1237</v>
      </c>
      <c r="AC209" s="2001" t="s">
        <v>79</v>
      </c>
      <c r="AD209" s="2002" t="s">
        <v>88</v>
      </c>
      <c r="AE209" s="1644" t="s">
        <v>560</v>
      </c>
      <c r="AF209" s="1644"/>
    </row>
    <row r="210" spans="1:32" ht="26.4" outlineLevel="1" x14ac:dyDescent="0.25">
      <c r="A210" s="18" t="s">
        <v>1617</v>
      </c>
      <c r="B210" s="1778" t="s">
        <v>75</v>
      </c>
      <c r="C210" s="1779" t="s">
        <v>1574</v>
      </c>
      <c r="D210" s="1742" t="s">
        <v>1657</v>
      </c>
      <c r="E210" s="1748" t="s">
        <v>14</v>
      </c>
      <c r="F210" s="1742" t="s">
        <v>14</v>
      </c>
      <c r="G210" s="1780">
        <v>0</v>
      </c>
      <c r="H210" s="1327">
        <v>0</v>
      </c>
      <c r="I210" s="1328">
        <v>0</v>
      </c>
      <c r="J210" s="1329">
        <v>0</v>
      </c>
      <c r="K210" s="1330">
        <v>0</v>
      </c>
      <c r="L210" s="1331">
        <f t="shared" si="13"/>
        <v>0</v>
      </c>
      <c r="M210" s="1276">
        <v>0</v>
      </c>
      <c r="N210" s="180">
        <v>0</v>
      </c>
      <c r="O210" s="2095">
        <f t="shared" si="11"/>
        <v>0</v>
      </c>
      <c r="P210" s="1276">
        <v>0</v>
      </c>
      <c r="Q210" s="2158">
        <v>0</v>
      </c>
      <c r="R210" s="1330">
        <v>0</v>
      </c>
      <c r="S210" s="2159">
        <v>0</v>
      </c>
      <c r="T210" s="2158">
        <v>0</v>
      </c>
      <c r="U210" s="1243">
        <v>0</v>
      </c>
      <c r="V210" s="1375">
        <v>0</v>
      </c>
      <c r="W210" s="1375">
        <v>0</v>
      </c>
      <c r="X210" s="2048">
        <v>0</v>
      </c>
      <c r="Y210" s="2049">
        <v>0</v>
      </c>
      <c r="Z210" s="2160" t="s">
        <v>1958</v>
      </c>
      <c r="AA210" s="1742" t="s">
        <v>81</v>
      </c>
      <c r="AB210" s="2096" t="s">
        <v>1237</v>
      </c>
      <c r="AC210" s="2161" t="s">
        <v>79</v>
      </c>
      <c r="AD210" s="2125" t="s">
        <v>88</v>
      </c>
      <c r="AE210" s="2162" t="s">
        <v>183</v>
      </c>
      <c r="AF210" s="2162"/>
    </row>
    <row r="211" spans="1:32" ht="26.4" outlineLevel="1" x14ac:dyDescent="0.25">
      <c r="A211" s="18" t="s">
        <v>1618</v>
      </c>
      <c r="B211" s="1778" t="s">
        <v>75</v>
      </c>
      <c r="C211" s="1779" t="s">
        <v>1575</v>
      </c>
      <c r="D211" s="1742" t="s">
        <v>1657</v>
      </c>
      <c r="E211" s="1748" t="s">
        <v>14</v>
      </c>
      <c r="F211" s="1742" t="s">
        <v>14</v>
      </c>
      <c r="G211" s="1780">
        <v>0</v>
      </c>
      <c r="H211" s="1327">
        <v>0</v>
      </c>
      <c r="I211" s="1328">
        <v>0</v>
      </c>
      <c r="J211" s="1329">
        <v>0</v>
      </c>
      <c r="K211" s="1330">
        <v>0</v>
      </c>
      <c r="L211" s="1331">
        <f t="shared" si="13"/>
        <v>0</v>
      </c>
      <c r="M211" s="1276">
        <v>0</v>
      </c>
      <c r="N211" s="180">
        <v>0</v>
      </c>
      <c r="O211" s="2095">
        <f t="shared" si="11"/>
        <v>0</v>
      </c>
      <c r="P211" s="1276">
        <v>0</v>
      </c>
      <c r="Q211" s="2158">
        <v>0</v>
      </c>
      <c r="R211" s="1330">
        <v>0</v>
      </c>
      <c r="S211" s="2159">
        <v>0</v>
      </c>
      <c r="T211" s="2158">
        <v>0</v>
      </c>
      <c r="U211" s="1243">
        <v>0</v>
      </c>
      <c r="V211" s="1375">
        <v>0</v>
      </c>
      <c r="W211" s="1375">
        <v>0</v>
      </c>
      <c r="X211" s="2048">
        <v>0</v>
      </c>
      <c r="Y211" s="2049">
        <v>0</v>
      </c>
      <c r="Z211" s="2160" t="s">
        <v>1958</v>
      </c>
      <c r="AA211" s="1742" t="s">
        <v>81</v>
      </c>
      <c r="AB211" s="2096" t="s">
        <v>1237</v>
      </c>
      <c r="AC211" s="2161" t="s">
        <v>79</v>
      </c>
      <c r="AD211" s="2125" t="s">
        <v>88</v>
      </c>
      <c r="AE211" s="2162" t="s">
        <v>171</v>
      </c>
      <c r="AF211" s="2162"/>
    </row>
    <row r="212" spans="1:32" ht="31.8" outlineLevel="1" thickBot="1" x14ac:dyDescent="0.3">
      <c r="A212" s="19" t="s">
        <v>1619</v>
      </c>
      <c r="B212" s="1752" t="s">
        <v>75</v>
      </c>
      <c r="C212" s="1781" t="s">
        <v>1576</v>
      </c>
      <c r="D212" s="1755" t="s">
        <v>1657</v>
      </c>
      <c r="E212" s="1782" t="s">
        <v>14</v>
      </c>
      <c r="F212" s="1755" t="s">
        <v>14</v>
      </c>
      <c r="G212" s="1757">
        <v>0</v>
      </c>
      <c r="H212" s="1303">
        <v>0</v>
      </c>
      <c r="I212" s="1304">
        <v>0</v>
      </c>
      <c r="J212" s="1305">
        <v>0</v>
      </c>
      <c r="K212" s="1306">
        <v>0</v>
      </c>
      <c r="L212" s="1307">
        <f t="shared" si="13"/>
        <v>0</v>
      </c>
      <c r="M212" s="1308">
        <v>0</v>
      </c>
      <c r="N212" s="179">
        <v>0</v>
      </c>
      <c r="O212" s="1818">
        <f t="shared" si="11"/>
        <v>0</v>
      </c>
      <c r="P212" s="1308">
        <v>0</v>
      </c>
      <c r="Q212" s="2163">
        <v>0</v>
      </c>
      <c r="R212" s="1306">
        <v>0</v>
      </c>
      <c r="S212" s="2133">
        <v>0</v>
      </c>
      <c r="T212" s="2163">
        <v>0</v>
      </c>
      <c r="U212" s="1306">
        <v>0</v>
      </c>
      <c r="V212" s="1379">
        <v>0</v>
      </c>
      <c r="W212" s="2133">
        <v>0</v>
      </c>
      <c r="X212" s="2133">
        <v>0</v>
      </c>
      <c r="Y212" s="2163">
        <v>0</v>
      </c>
      <c r="Z212" s="2135" t="s">
        <v>1958</v>
      </c>
      <c r="AA212" s="1755" t="s">
        <v>81</v>
      </c>
      <c r="AB212" s="2164" t="s">
        <v>1237</v>
      </c>
      <c r="AC212" s="2165" t="s">
        <v>79</v>
      </c>
      <c r="AD212" s="2136" t="s">
        <v>88</v>
      </c>
      <c r="AE212" s="1845" t="s">
        <v>183</v>
      </c>
      <c r="AF212" s="1845"/>
    </row>
    <row r="213" spans="1:32" outlineLevel="1" x14ac:dyDescent="0.25">
      <c r="A213" s="720" t="s">
        <v>1809</v>
      </c>
      <c r="B213" s="858" t="s">
        <v>75</v>
      </c>
      <c r="C213" s="859" t="s">
        <v>1810</v>
      </c>
      <c r="D213" s="33" t="s">
        <v>75</v>
      </c>
      <c r="E213" s="25" t="s">
        <v>14</v>
      </c>
      <c r="F213" s="33" t="s">
        <v>14</v>
      </c>
      <c r="G213" s="35">
        <v>22303</v>
      </c>
      <c r="H213" s="129">
        <v>0</v>
      </c>
      <c r="I213" s="976">
        <v>0</v>
      </c>
      <c r="J213" s="977">
        <v>0</v>
      </c>
      <c r="K213" s="860">
        <v>0</v>
      </c>
      <c r="L213" s="1045">
        <f t="shared" si="13"/>
        <v>22303</v>
      </c>
      <c r="M213" s="724">
        <v>0</v>
      </c>
      <c r="N213" s="725">
        <v>22303</v>
      </c>
      <c r="O213" s="1046">
        <f t="shared" si="11"/>
        <v>22303</v>
      </c>
      <c r="P213" s="1047">
        <v>0</v>
      </c>
      <c r="Q213" s="1047">
        <v>0</v>
      </c>
      <c r="R213" s="860">
        <v>0</v>
      </c>
      <c r="S213" s="865">
        <v>0</v>
      </c>
      <c r="T213" s="865">
        <v>0</v>
      </c>
      <c r="U213" s="1144">
        <v>0</v>
      </c>
      <c r="V213" s="1145">
        <v>0</v>
      </c>
      <c r="W213" s="2631">
        <v>0</v>
      </c>
      <c r="X213" s="2631">
        <v>0</v>
      </c>
      <c r="Y213" s="861">
        <v>0</v>
      </c>
      <c r="Z213" s="287" t="s">
        <v>72</v>
      </c>
      <c r="AA213" s="33" t="s">
        <v>10</v>
      </c>
      <c r="AB213" s="207" t="s">
        <v>382</v>
      </c>
      <c r="AC213" s="214" t="s">
        <v>80</v>
      </c>
      <c r="AD213" s="109" t="s">
        <v>89</v>
      </c>
      <c r="AE213" s="978" t="s">
        <v>171</v>
      </c>
      <c r="AF213" s="978"/>
    </row>
    <row r="214" spans="1:32" ht="31.2" outlineLevel="1" x14ac:dyDescent="0.25">
      <c r="A214" s="720" t="s">
        <v>1811</v>
      </c>
      <c r="B214" s="858" t="s">
        <v>75</v>
      </c>
      <c r="C214" s="859" t="s">
        <v>1812</v>
      </c>
      <c r="D214" s="33" t="s">
        <v>75</v>
      </c>
      <c r="E214" s="25" t="s">
        <v>14</v>
      </c>
      <c r="F214" s="33" t="s">
        <v>14</v>
      </c>
      <c r="G214" s="35">
        <v>20000</v>
      </c>
      <c r="H214" s="129">
        <v>0</v>
      </c>
      <c r="I214" s="976">
        <v>0</v>
      </c>
      <c r="J214" s="977">
        <v>0</v>
      </c>
      <c r="K214" s="860">
        <v>0</v>
      </c>
      <c r="L214" s="1048">
        <f t="shared" si="13"/>
        <v>0</v>
      </c>
      <c r="M214" s="724">
        <v>0</v>
      </c>
      <c r="N214" s="725">
        <v>0</v>
      </c>
      <c r="O214" s="734">
        <f t="shared" si="11"/>
        <v>0</v>
      </c>
      <c r="P214" s="724">
        <v>20000</v>
      </c>
      <c r="Q214" s="724">
        <v>0</v>
      </c>
      <c r="R214" s="860">
        <v>0</v>
      </c>
      <c r="S214" s="863">
        <v>0</v>
      </c>
      <c r="T214" s="863">
        <v>0</v>
      </c>
      <c r="U214" s="862">
        <v>0</v>
      </c>
      <c r="V214" s="863">
        <v>0</v>
      </c>
      <c r="W214" s="863">
        <v>0</v>
      </c>
      <c r="X214" s="1148">
        <v>0</v>
      </c>
      <c r="Y214" s="864">
        <v>0</v>
      </c>
      <c r="Z214" s="287" t="s">
        <v>72</v>
      </c>
      <c r="AA214" s="33" t="s">
        <v>6</v>
      </c>
      <c r="AB214" s="207" t="s">
        <v>449</v>
      </c>
      <c r="AC214" s="214" t="s">
        <v>79</v>
      </c>
      <c r="AD214" s="109" t="s">
        <v>90</v>
      </c>
      <c r="AE214" s="978" t="s">
        <v>180</v>
      </c>
      <c r="AF214" s="964"/>
    </row>
    <row r="215" spans="1:32" outlineLevel="1" x14ac:dyDescent="0.25">
      <c r="A215" s="720" t="s">
        <v>1813</v>
      </c>
      <c r="B215" s="858" t="s">
        <v>75</v>
      </c>
      <c r="C215" s="859" t="s">
        <v>1814</v>
      </c>
      <c r="D215" s="33" t="s">
        <v>75</v>
      </c>
      <c r="E215" s="25" t="s">
        <v>14</v>
      </c>
      <c r="F215" s="33" t="s">
        <v>14</v>
      </c>
      <c r="G215" s="35">
        <v>60000</v>
      </c>
      <c r="H215" s="129">
        <v>0</v>
      </c>
      <c r="I215" s="976">
        <v>0</v>
      </c>
      <c r="J215" s="977">
        <v>0</v>
      </c>
      <c r="K215" s="860">
        <v>0</v>
      </c>
      <c r="L215" s="1048">
        <f t="shared" si="13"/>
        <v>0</v>
      </c>
      <c r="M215" s="724">
        <v>0</v>
      </c>
      <c r="N215" s="725">
        <v>0</v>
      </c>
      <c r="O215" s="734">
        <f t="shared" si="11"/>
        <v>0</v>
      </c>
      <c r="P215" s="724">
        <v>30000</v>
      </c>
      <c r="Q215" s="724">
        <v>30000</v>
      </c>
      <c r="R215" s="860">
        <v>0</v>
      </c>
      <c r="S215" s="863">
        <v>0</v>
      </c>
      <c r="T215" s="863">
        <v>0</v>
      </c>
      <c r="U215" s="862">
        <v>0</v>
      </c>
      <c r="V215" s="863">
        <v>0</v>
      </c>
      <c r="W215" s="863">
        <v>0</v>
      </c>
      <c r="X215" s="1148">
        <v>0</v>
      </c>
      <c r="Y215" s="864">
        <v>0</v>
      </c>
      <c r="Z215" s="287" t="s">
        <v>72</v>
      </c>
      <c r="AA215" s="33" t="s">
        <v>8</v>
      </c>
      <c r="AB215" s="207" t="s">
        <v>1766</v>
      </c>
      <c r="AC215" s="214" t="s">
        <v>79</v>
      </c>
      <c r="AD215" s="109" t="s">
        <v>88</v>
      </c>
      <c r="AE215" s="978" t="s">
        <v>174</v>
      </c>
      <c r="AF215" s="964"/>
    </row>
    <row r="216" spans="1:32" ht="31.2" outlineLevel="1" x14ac:dyDescent="0.25">
      <c r="A216" s="720" t="s">
        <v>1924</v>
      </c>
      <c r="B216" s="858" t="s">
        <v>75</v>
      </c>
      <c r="C216" s="859" t="s">
        <v>1925</v>
      </c>
      <c r="D216" s="33" t="s">
        <v>75</v>
      </c>
      <c r="E216" s="25" t="s">
        <v>14</v>
      </c>
      <c r="F216" s="33" t="s">
        <v>14</v>
      </c>
      <c r="G216" s="35">
        <v>22500</v>
      </c>
      <c r="H216" s="129">
        <v>0</v>
      </c>
      <c r="I216" s="976">
        <v>0</v>
      </c>
      <c r="J216" s="977">
        <v>0</v>
      </c>
      <c r="K216" s="860">
        <v>0</v>
      </c>
      <c r="L216" s="1048">
        <f t="shared" si="13"/>
        <v>22500</v>
      </c>
      <c r="M216" s="724">
        <v>0</v>
      </c>
      <c r="N216" s="35">
        <v>22500</v>
      </c>
      <c r="O216" s="734">
        <f t="shared" si="11"/>
        <v>22500</v>
      </c>
      <c r="P216" s="724">
        <v>0</v>
      </c>
      <c r="Q216" s="724">
        <v>0</v>
      </c>
      <c r="R216" s="860">
        <v>0</v>
      </c>
      <c r="S216" s="863">
        <v>0</v>
      </c>
      <c r="T216" s="863">
        <v>0</v>
      </c>
      <c r="U216" s="862">
        <v>0</v>
      </c>
      <c r="V216" s="863">
        <v>0</v>
      </c>
      <c r="W216" s="863">
        <v>0</v>
      </c>
      <c r="X216" s="1148">
        <v>0</v>
      </c>
      <c r="Y216" s="864">
        <v>0</v>
      </c>
      <c r="Z216" s="287" t="s">
        <v>72</v>
      </c>
      <c r="AA216" s="33" t="s">
        <v>10</v>
      </c>
      <c r="AB216" s="207" t="s">
        <v>1766</v>
      </c>
      <c r="AC216" s="214" t="s">
        <v>80</v>
      </c>
      <c r="AD216" s="109" t="s">
        <v>89</v>
      </c>
      <c r="AE216" s="978" t="s">
        <v>180</v>
      </c>
      <c r="AF216" s="964"/>
    </row>
    <row r="217" spans="1:32" outlineLevel="1" x14ac:dyDescent="0.25">
      <c r="A217" s="720" t="s">
        <v>1926</v>
      </c>
      <c r="B217" s="858" t="s">
        <v>75</v>
      </c>
      <c r="C217" s="859" t="s">
        <v>1927</v>
      </c>
      <c r="D217" s="33" t="s">
        <v>75</v>
      </c>
      <c r="E217" s="25" t="s">
        <v>14</v>
      </c>
      <c r="F217" s="33" t="s">
        <v>14</v>
      </c>
      <c r="G217" s="35">
        <v>10000</v>
      </c>
      <c r="H217" s="129">
        <v>0</v>
      </c>
      <c r="I217" s="976">
        <v>0</v>
      </c>
      <c r="J217" s="977">
        <v>0</v>
      </c>
      <c r="K217" s="860">
        <v>0</v>
      </c>
      <c r="L217" s="1048">
        <f t="shared" si="13"/>
        <v>10000</v>
      </c>
      <c r="M217" s="724">
        <v>0</v>
      </c>
      <c r="N217" s="35">
        <v>10000</v>
      </c>
      <c r="O217" s="734">
        <f t="shared" si="11"/>
        <v>10000</v>
      </c>
      <c r="P217" s="724">
        <v>0</v>
      </c>
      <c r="Q217" s="724">
        <v>0</v>
      </c>
      <c r="R217" s="860">
        <v>0</v>
      </c>
      <c r="S217" s="863">
        <v>0</v>
      </c>
      <c r="T217" s="863">
        <v>0</v>
      </c>
      <c r="U217" s="862">
        <v>0</v>
      </c>
      <c r="V217" s="863">
        <v>0</v>
      </c>
      <c r="W217" s="863">
        <v>0</v>
      </c>
      <c r="X217" s="1148">
        <v>0</v>
      </c>
      <c r="Y217" s="864">
        <v>0</v>
      </c>
      <c r="Z217" s="287" t="s">
        <v>72</v>
      </c>
      <c r="AA217" s="33" t="s">
        <v>10</v>
      </c>
      <c r="AB217" s="109" t="s">
        <v>450</v>
      </c>
      <c r="AC217" s="214" t="s">
        <v>80</v>
      </c>
      <c r="AD217" s="109" t="s">
        <v>89</v>
      </c>
      <c r="AE217" s="978" t="s">
        <v>172</v>
      </c>
      <c r="AF217" s="964"/>
    </row>
    <row r="218" spans="1:32" outlineLevel="1" x14ac:dyDescent="0.25">
      <c r="A218" s="720" t="s">
        <v>1928</v>
      </c>
      <c r="B218" s="858" t="s">
        <v>75</v>
      </c>
      <c r="C218" s="859" t="s">
        <v>1929</v>
      </c>
      <c r="D218" s="33" t="s">
        <v>75</v>
      </c>
      <c r="E218" s="25" t="s">
        <v>14</v>
      </c>
      <c r="F218" s="33" t="s">
        <v>14</v>
      </c>
      <c r="G218" s="35">
        <v>20000</v>
      </c>
      <c r="H218" s="129">
        <v>0</v>
      </c>
      <c r="I218" s="976">
        <v>0</v>
      </c>
      <c r="J218" s="977">
        <v>0</v>
      </c>
      <c r="K218" s="860">
        <v>0</v>
      </c>
      <c r="L218" s="1048">
        <f t="shared" si="13"/>
        <v>20000</v>
      </c>
      <c r="M218" s="724">
        <v>0</v>
      </c>
      <c r="N218" s="35">
        <v>20000</v>
      </c>
      <c r="O218" s="734">
        <f t="shared" si="11"/>
        <v>20000</v>
      </c>
      <c r="P218" s="724">
        <v>0</v>
      </c>
      <c r="Q218" s="724">
        <v>0</v>
      </c>
      <c r="R218" s="860">
        <v>0</v>
      </c>
      <c r="S218" s="863">
        <v>0</v>
      </c>
      <c r="T218" s="863">
        <v>0</v>
      </c>
      <c r="U218" s="862">
        <v>0</v>
      </c>
      <c r="V218" s="863">
        <v>0</v>
      </c>
      <c r="W218" s="863">
        <v>0</v>
      </c>
      <c r="X218" s="1148">
        <v>0</v>
      </c>
      <c r="Y218" s="864">
        <v>0</v>
      </c>
      <c r="Z218" s="287" t="s">
        <v>72</v>
      </c>
      <c r="AA218" s="33" t="s">
        <v>10</v>
      </c>
      <c r="AB218" s="109" t="s">
        <v>450</v>
      </c>
      <c r="AC218" s="214" t="s">
        <v>80</v>
      </c>
      <c r="AD218" s="109" t="s">
        <v>89</v>
      </c>
      <c r="AE218" s="978" t="s">
        <v>172</v>
      </c>
      <c r="AF218" s="964"/>
    </row>
    <row r="219" spans="1:32" ht="26.4" outlineLevel="1" x14ac:dyDescent="0.25">
      <c r="A219" s="720" t="s">
        <v>1930</v>
      </c>
      <c r="B219" s="858" t="s">
        <v>75</v>
      </c>
      <c r="C219" s="859" t="s">
        <v>1931</v>
      </c>
      <c r="D219" s="33" t="s">
        <v>75</v>
      </c>
      <c r="E219" s="25" t="s">
        <v>14</v>
      </c>
      <c r="F219" s="33" t="s">
        <v>14</v>
      </c>
      <c r="G219" s="35">
        <v>6300</v>
      </c>
      <c r="H219" s="129">
        <v>0</v>
      </c>
      <c r="I219" s="976">
        <v>0</v>
      </c>
      <c r="J219" s="977">
        <v>0</v>
      </c>
      <c r="K219" s="860">
        <v>0</v>
      </c>
      <c r="L219" s="1048">
        <f t="shared" si="13"/>
        <v>6300</v>
      </c>
      <c r="M219" s="724">
        <v>0</v>
      </c>
      <c r="N219" s="35">
        <v>6300</v>
      </c>
      <c r="O219" s="734">
        <f t="shared" ref="O219:O220" si="14">M219+N219</f>
        <v>6300</v>
      </c>
      <c r="P219" s="724">
        <v>0</v>
      </c>
      <c r="Q219" s="724">
        <v>0</v>
      </c>
      <c r="R219" s="860">
        <v>0</v>
      </c>
      <c r="S219" s="863">
        <v>0</v>
      </c>
      <c r="T219" s="863">
        <v>0</v>
      </c>
      <c r="U219" s="862">
        <v>0</v>
      </c>
      <c r="V219" s="863">
        <v>0</v>
      </c>
      <c r="W219" s="863">
        <v>0</v>
      </c>
      <c r="X219" s="1148">
        <v>0</v>
      </c>
      <c r="Y219" s="864">
        <v>0</v>
      </c>
      <c r="Z219" s="287" t="s">
        <v>72</v>
      </c>
      <c r="AA219" s="33" t="s">
        <v>10</v>
      </c>
      <c r="AB219" s="109" t="s">
        <v>450</v>
      </c>
      <c r="AC219" s="214" t="s">
        <v>80</v>
      </c>
      <c r="AD219" s="109" t="s">
        <v>89</v>
      </c>
      <c r="AE219" s="978" t="s">
        <v>560</v>
      </c>
      <c r="AF219" s="964"/>
    </row>
    <row r="220" spans="1:32" ht="26.4" outlineLevel="1" x14ac:dyDescent="0.25">
      <c r="A220" s="720" t="s">
        <v>1932</v>
      </c>
      <c r="B220" s="858" t="s">
        <v>75</v>
      </c>
      <c r="C220" s="859" t="s">
        <v>1933</v>
      </c>
      <c r="D220" s="33" t="s">
        <v>75</v>
      </c>
      <c r="E220" s="25" t="s">
        <v>14</v>
      </c>
      <c r="F220" s="33" t="s">
        <v>14</v>
      </c>
      <c r="G220" s="35">
        <v>8500</v>
      </c>
      <c r="H220" s="129">
        <v>0</v>
      </c>
      <c r="I220" s="976">
        <v>0</v>
      </c>
      <c r="J220" s="977">
        <v>0</v>
      </c>
      <c r="K220" s="860">
        <v>0</v>
      </c>
      <c r="L220" s="1048">
        <f t="shared" si="13"/>
        <v>8500</v>
      </c>
      <c r="M220" s="724">
        <v>0</v>
      </c>
      <c r="N220" s="35">
        <v>8500</v>
      </c>
      <c r="O220" s="734">
        <f t="shared" si="14"/>
        <v>8500</v>
      </c>
      <c r="P220" s="724">
        <v>0</v>
      </c>
      <c r="Q220" s="724">
        <v>0</v>
      </c>
      <c r="R220" s="860">
        <v>0</v>
      </c>
      <c r="S220" s="863">
        <v>0</v>
      </c>
      <c r="T220" s="863">
        <v>0</v>
      </c>
      <c r="U220" s="862">
        <v>0</v>
      </c>
      <c r="V220" s="863">
        <v>0</v>
      </c>
      <c r="W220" s="863">
        <v>0</v>
      </c>
      <c r="X220" s="1148">
        <v>0</v>
      </c>
      <c r="Y220" s="864">
        <v>0</v>
      </c>
      <c r="Z220" s="287" t="s">
        <v>72</v>
      </c>
      <c r="AA220" s="33" t="s">
        <v>10</v>
      </c>
      <c r="AB220" s="109" t="s">
        <v>450</v>
      </c>
      <c r="AC220" s="214" t="s">
        <v>80</v>
      </c>
      <c r="AD220" s="109" t="s">
        <v>89</v>
      </c>
      <c r="AE220" s="978" t="s">
        <v>177</v>
      </c>
      <c r="AF220" s="964"/>
    </row>
    <row r="221" spans="1:32" ht="38.25" customHeight="1" outlineLevel="1" x14ac:dyDescent="0.25">
      <c r="A221" s="926" t="s">
        <v>1972</v>
      </c>
      <c r="B221" s="927" t="s">
        <v>75</v>
      </c>
      <c r="C221" s="2687" t="s">
        <v>1973</v>
      </c>
      <c r="D221" s="36" t="s">
        <v>1974</v>
      </c>
      <c r="E221" s="27" t="s">
        <v>14</v>
      </c>
      <c r="F221" s="36" t="s">
        <v>14</v>
      </c>
      <c r="G221" s="2688">
        <v>3630</v>
      </c>
      <c r="H221" s="130">
        <v>0</v>
      </c>
      <c r="I221" s="2689">
        <v>0</v>
      </c>
      <c r="J221" s="963">
        <v>0</v>
      </c>
      <c r="K221" s="929">
        <v>0</v>
      </c>
      <c r="L221" s="2690">
        <v>3630</v>
      </c>
      <c r="M221" s="188">
        <v>0</v>
      </c>
      <c r="N221" s="2688">
        <v>3630</v>
      </c>
      <c r="O221" s="734">
        <v>3630</v>
      </c>
      <c r="P221" s="188">
        <v>0</v>
      </c>
      <c r="Q221" s="934">
        <v>0</v>
      </c>
      <c r="R221" s="931">
        <v>0</v>
      </c>
      <c r="S221" s="2691">
        <v>0</v>
      </c>
      <c r="T221" s="2692">
        <v>0</v>
      </c>
      <c r="U221" s="2693">
        <v>0</v>
      </c>
      <c r="V221" s="2691">
        <v>0</v>
      </c>
      <c r="W221" s="2691">
        <v>0</v>
      </c>
      <c r="X221" s="2694">
        <v>0</v>
      </c>
      <c r="Y221" s="2692">
        <v>0</v>
      </c>
      <c r="Z221" s="2695" t="s">
        <v>72</v>
      </c>
      <c r="AA221" s="36" t="s">
        <v>10</v>
      </c>
      <c r="AB221" s="2696" t="s">
        <v>1311</v>
      </c>
      <c r="AC221" s="43" t="s">
        <v>80</v>
      </c>
      <c r="AD221" s="88" t="s">
        <v>89</v>
      </c>
      <c r="AE221" s="961" t="s">
        <v>177</v>
      </c>
      <c r="AF221" s="2697"/>
    </row>
    <row r="222" spans="1:32" outlineLevel="1" thickBot="1" x14ac:dyDescent="0.3">
      <c r="A222" s="425" t="s">
        <v>84</v>
      </c>
      <c r="B222" s="1783" t="s">
        <v>84</v>
      </c>
      <c r="C222" s="1784" t="s">
        <v>84</v>
      </c>
      <c r="D222" s="1661" t="s">
        <v>84</v>
      </c>
      <c r="E222" s="1785" t="s">
        <v>84</v>
      </c>
      <c r="F222" s="1663" t="s">
        <v>84</v>
      </c>
      <c r="G222" s="1671" t="s">
        <v>84</v>
      </c>
      <c r="H222" s="1332" t="s">
        <v>84</v>
      </c>
      <c r="I222" s="1333" t="s">
        <v>84</v>
      </c>
      <c r="J222" s="1334" t="s">
        <v>84</v>
      </c>
      <c r="K222" s="1227" t="s">
        <v>84</v>
      </c>
      <c r="L222" s="1228" t="s">
        <v>84</v>
      </c>
      <c r="M222" s="85" t="s">
        <v>84</v>
      </c>
      <c r="N222" s="85" t="s">
        <v>84</v>
      </c>
      <c r="O222" s="85" t="s">
        <v>84</v>
      </c>
      <c r="P222" s="85" t="s">
        <v>84</v>
      </c>
      <c r="Q222" s="2023" t="s">
        <v>84</v>
      </c>
      <c r="R222" s="2022" t="s">
        <v>84</v>
      </c>
      <c r="S222" s="2024" t="s">
        <v>84</v>
      </c>
      <c r="T222" s="2023" t="s">
        <v>84</v>
      </c>
      <c r="U222" s="2166" t="s">
        <v>84</v>
      </c>
      <c r="V222" s="1227" t="s">
        <v>84</v>
      </c>
      <c r="W222" s="1227" t="s">
        <v>84</v>
      </c>
      <c r="X222" s="2024" t="s">
        <v>84</v>
      </c>
      <c r="Y222" s="2023" t="s">
        <v>84</v>
      </c>
      <c r="Z222" s="85" t="s">
        <v>84</v>
      </c>
      <c r="AA222" s="1661" t="s">
        <v>84</v>
      </c>
      <c r="AB222" s="2088" t="s">
        <v>84</v>
      </c>
      <c r="AC222" s="15" t="s">
        <v>84</v>
      </c>
      <c r="AD222" s="15" t="s">
        <v>84</v>
      </c>
      <c r="AE222" s="1663" t="s">
        <v>84</v>
      </c>
      <c r="AF222" s="1663" t="s">
        <v>84</v>
      </c>
    </row>
    <row r="223" spans="1:32" s="967" customFormat="1" ht="30.75" customHeight="1" thickBot="1" x14ac:dyDescent="0.3">
      <c r="A223" s="272" t="s">
        <v>97</v>
      </c>
      <c r="B223" s="273"/>
      <c r="C223" s="279"/>
      <c r="D223" s="7" t="s">
        <v>72</v>
      </c>
      <c r="E223" s="384" t="s">
        <v>72</v>
      </c>
      <c r="F223" s="359" t="s">
        <v>72</v>
      </c>
      <c r="G223" s="166">
        <f>SUM(G38:G222)</f>
        <v>9622462.0337200016</v>
      </c>
      <c r="H223" s="166">
        <f t="shared" ref="H223:N223" si="15">SUM(H38:H222)</f>
        <v>1818695.9136199998</v>
      </c>
      <c r="I223" s="166">
        <f t="shared" si="15"/>
        <v>117045.32051999999</v>
      </c>
      <c r="J223" s="166">
        <f t="shared" si="15"/>
        <v>484758.75372000004</v>
      </c>
      <c r="K223" s="166">
        <f t="shared" si="15"/>
        <v>117045.32051999999</v>
      </c>
      <c r="L223" s="166">
        <f t="shared" si="15"/>
        <v>1478439.0884599998</v>
      </c>
      <c r="M223" s="166">
        <f t="shared" si="15"/>
        <v>2082311.7548399998</v>
      </c>
      <c r="N223" s="166">
        <f t="shared" si="15"/>
        <v>-486827.34586</v>
      </c>
      <c r="O223" s="166">
        <f t="shared" ref="O223:O271" si="16">M223+N223</f>
        <v>1595484.4089799998</v>
      </c>
      <c r="P223" s="166">
        <f t="shared" ref="P223:Y223" si="17">SUM(P38:P222)</f>
        <v>3998559.9361200002</v>
      </c>
      <c r="Q223" s="166">
        <f t="shared" si="17"/>
        <v>2103406.7749999999</v>
      </c>
      <c r="R223" s="166">
        <f t="shared" si="17"/>
        <v>0</v>
      </c>
      <c r="S223" s="166">
        <f t="shared" si="17"/>
        <v>106315</v>
      </c>
      <c r="T223" s="166">
        <f t="shared" si="17"/>
        <v>0</v>
      </c>
      <c r="U223" s="166">
        <f t="shared" si="17"/>
        <v>163082.29823000001</v>
      </c>
      <c r="V223" s="166">
        <f t="shared" si="17"/>
        <v>138658.22765000002</v>
      </c>
      <c r="W223" s="166">
        <f t="shared" si="17"/>
        <v>9747.4225500000011</v>
      </c>
      <c r="X223" s="166">
        <f t="shared" si="17"/>
        <v>24424.07058</v>
      </c>
      <c r="Y223" s="166">
        <f t="shared" si="17"/>
        <v>0</v>
      </c>
      <c r="Z223" s="7" t="s">
        <v>1964</v>
      </c>
      <c r="AA223" s="7" t="s">
        <v>72</v>
      </c>
      <c r="AB223" s="361" t="s">
        <v>72</v>
      </c>
      <c r="AC223" s="361" t="s">
        <v>72</v>
      </c>
      <c r="AD223" s="9" t="s">
        <v>72</v>
      </c>
      <c r="AE223" s="359" t="s">
        <v>72</v>
      </c>
      <c r="AF223" s="359" t="s">
        <v>72</v>
      </c>
    </row>
    <row r="224" spans="1:32" ht="27" outlineLevel="1" thickBot="1" x14ac:dyDescent="0.3">
      <c r="A224" s="562" t="s">
        <v>213</v>
      </c>
      <c r="B224" s="765" t="s">
        <v>318</v>
      </c>
      <c r="C224" s="563" t="s">
        <v>201</v>
      </c>
      <c r="D224" s="67" t="s">
        <v>1030</v>
      </c>
      <c r="E224" s="290" t="s">
        <v>19</v>
      </c>
      <c r="F224" s="286" t="s">
        <v>19</v>
      </c>
      <c r="G224" s="564">
        <v>375100</v>
      </c>
      <c r="H224" s="762">
        <v>4516.4943999999996</v>
      </c>
      <c r="I224" s="568">
        <v>0</v>
      </c>
      <c r="J224" s="761">
        <v>0</v>
      </c>
      <c r="K224" s="566">
        <v>0</v>
      </c>
      <c r="L224" s="759">
        <f t="shared" ref="L224:L255" si="18">O224-K224</f>
        <v>1000.0000000000041</v>
      </c>
      <c r="M224" s="479">
        <v>1516.0056000000041</v>
      </c>
      <c r="N224" s="768">
        <v>-516.00559999999996</v>
      </c>
      <c r="O224" s="478">
        <f t="shared" si="16"/>
        <v>1000.0000000000041</v>
      </c>
      <c r="P224" s="570">
        <v>189583.5056</v>
      </c>
      <c r="Q224" s="572">
        <v>180000</v>
      </c>
      <c r="R224" s="568">
        <v>0</v>
      </c>
      <c r="S224" s="571">
        <v>0</v>
      </c>
      <c r="T224" s="769">
        <v>0</v>
      </c>
      <c r="U224" s="770">
        <v>0</v>
      </c>
      <c r="V224" s="771">
        <v>0</v>
      </c>
      <c r="W224" s="771">
        <v>0</v>
      </c>
      <c r="X224" s="772">
        <v>0</v>
      </c>
      <c r="Y224" s="773">
        <v>0</v>
      </c>
      <c r="Z224" s="171" t="s">
        <v>1752</v>
      </c>
      <c r="AA224" s="67" t="s">
        <v>8</v>
      </c>
      <c r="AB224" s="194" t="s">
        <v>1236</v>
      </c>
      <c r="AC224" s="774" t="s">
        <v>79</v>
      </c>
      <c r="AD224" s="171" t="s">
        <v>91</v>
      </c>
      <c r="AE224" s="286" t="s">
        <v>166</v>
      </c>
      <c r="AF224" s="286" t="s">
        <v>646</v>
      </c>
    </row>
    <row r="225" spans="1:32" ht="31.8" outlineLevel="1" thickBot="1" x14ac:dyDescent="0.3">
      <c r="A225" s="29" t="s">
        <v>214</v>
      </c>
      <c r="B225" s="1786" t="s">
        <v>319</v>
      </c>
      <c r="C225" s="1673" t="s">
        <v>802</v>
      </c>
      <c r="D225" s="1674" t="s">
        <v>1031</v>
      </c>
      <c r="E225" s="1675" t="s">
        <v>21</v>
      </c>
      <c r="F225" s="1676" t="s">
        <v>21</v>
      </c>
      <c r="G225" s="1677">
        <f>18098.52+3050</f>
        <v>21148.52</v>
      </c>
      <c r="H225" s="1335">
        <v>21090.923999999999</v>
      </c>
      <c r="I225" s="1230">
        <v>57.595999999999997</v>
      </c>
      <c r="J225" s="1231">
        <v>0</v>
      </c>
      <c r="K225" s="1232">
        <v>57.595999999999997</v>
      </c>
      <c r="L225" s="1233">
        <f t="shared" si="18"/>
        <v>0</v>
      </c>
      <c r="M225" s="1234">
        <v>57.595999999999997</v>
      </c>
      <c r="N225" s="182">
        <v>0</v>
      </c>
      <c r="O225" s="2026">
        <f t="shared" si="16"/>
        <v>57.595999999999997</v>
      </c>
      <c r="P225" s="2027">
        <v>0</v>
      </c>
      <c r="Q225" s="2027">
        <v>0</v>
      </c>
      <c r="R225" s="2029">
        <v>0</v>
      </c>
      <c r="S225" s="2030">
        <v>0</v>
      </c>
      <c r="T225" s="2167">
        <v>0</v>
      </c>
      <c r="U225" s="1550">
        <v>0</v>
      </c>
      <c r="V225" s="2168">
        <v>0</v>
      </c>
      <c r="W225" s="2168">
        <v>0</v>
      </c>
      <c r="X225" s="2169">
        <v>0</v>
      </c>
      <c r="Y225" s="2170">
        <v>0</v>
      </c>
      <c r="Z225" s="1674" t="s">
        <v>72</v>
      </c>
      <c r="AA225" s="1674" t="s">
        <v>83</v>
      </c>
      <c r="AB225" s="2171" t="s">
        <v>528</v>
      </c>
      <c r="AC225" s="2171" t="s">
        <v>80</v>
      </c>
      <c r="AD225" s="2172" t="s">
        <v>89</v>
      </c>
      <c r="AE225" s="1676" t="s">
        <v>171</v>
      </c>
      <c r="AF225" s="1676" t="s">
        <v>646</v>
      </c>
    </row>
    <row r="226" spans="1:32" ht="27" outlineLevel="1" thickBot="1" x14ac:dyDescent="0.3">
      <c r="A226" s="562" t="s">
        <v>215</v>
      </c>
      <c r="B226" s="765" t="s">
        <v>447</v>
      </c>
      <c r="C226" s="563" t="s">
        <v>428</v>
      </c>
      <c r="D226" s="67" t="s">
        <v>85</v>
      </c>
      <c r="E226" s="137" t="s">
        <v>25</v>
      </c>
      <c r="F226" s="67" t="s">
        <v>25</v>
      </c>
      <c r="G226" s="775">
        <v>10449.56</v>
      </c>
      <c r="H226" s="775">
        <v>164.56</v>
      </c>
      <c r="I226" s="568">
        <v>0</v>
      </c>
      <c r="J226" s="761">
        <v>0</v>
      </c>
      <c r="K226" s="566">
        <v>0</v>
      </c>
      <c r="L226" s="776">
        <f t="shared" si="18"/>
        <v>785</v>
      </c>
      <c r="M226" s="606">
        <v>2285</v>
      </c>
      <c r="N226" s="777">
        <v>-1500</v>
      </c>
      <c r="O226" s="559">
        <f t="shared" si="16"/>
        <v>785</v>
      </c>
      <c r="P226" s="475">
        <v>9500</v>
      </c>
      <c r="Q226" s="66">
        <v>0</v>
      </c>
      <c r="R226" s="557">
        <v>0</v>
      </c>
      <c r="S226" s="201">
        <v>0</v>
      </c>
      <c r="T226" s="778">
        <v>0</v>
      </c>
      <c r="U226" s="643">
        <v>0</v>
      </c>
      <c r="V226" s="739">
        <v>0</v>
      </c>
      <c r="W226" s="739">
        <v>0</v>
      </c>
      <c r="X226" s="749">
        <v>0</v>
      </c>
      <c r="Y226" s="740">
        <v>0</v>
      </c>
      <c r="Z226" s="170" t="s">
        <v>1523</v>
      </c>
      <c r="AA226" s="143" t="s">
        <v>8</v>
      </c>
      <c r="AB226" s="764" t="s">
        <v>1236</v>
      </c>
      <c r="AC226" s="764" t="s">
        <v>79</v>
      </c>
      <c r="AD226" s="170" t="s">
        <v>88</v>
      </c>
      <c r="AE226" s="969" t="s">
        <v>174</v>
      </c>
      <c r="AF226" s="969" t="s">
        <v>646</v>
      </c>
    </row>
    <row r="227" spans="1:32" ht="31.8" outlineLevel="1" thickBot="1" x14ac:dyDescent="0.3">
      <c r="A227" s="227" t="s">
        <v>131</v>
      </c>
      <c r="B227" s="343" t="s">
        <v>420</v>
      </c>
      <c r="C227" s="1787" t="s">
        <v>1144</v>
      </c>
      <c r="D227" s="2" t="s">
        <v>137</v>
      </c>
      <c r="E227" s="1788" t="s">
        <v>63</v>
      </c>
      <c r="F227" s="2" t="s">
        <v>63</v>
      </c>
      <c r="G227" s="1789">
        <v>15000</v>
      </c>
      <c r="H227" s="1336">
        <v>534.57799999999997</v>
      </c>
      <c r="I227" s="1337">
        <v>66.792000000000002</v>
      </c>
      <c r="J227" s="1338">
        <v>0</v>
      </c>
      <c r="K227" s="1178">
        <v>66.792000000000002</v>
      </c>
      <c r="L227" s="1179">
        <f t="shared" si="18"/>
        <v>398.63000000000045</v>
      </c>
      <c r="M227" s="1180">
        <v>465.42200000000048</v>
      </c>
      <c r="N227" s="230">
        <v>0</v>
      </c>
      <c r="O227" s="1992">
        <f t="shared" si="16"/>
        <v>465.42200000000048</v>
      </c>
      <c r="P227" s="1348">
        <v>14000</v>
      </c>
      <c r="Q227" s="1348">
        <v>0</v>
      </c>
      <c r="R227" s="1178">
        <v>0</v>
      </c>
      <c r="S227" s="1994">
        <v>0</v>
      </c>
      <c r="T227" s="2173">
        <v>0</v>
      </c>
      <c r="U227" s="1564">
        <v>0</v>
      </c>
      <c r="V227" s="2174">
        <v>0</v>
      </c>
      <c r="W227" s="2174">
        <v>0</v>
      </c>
      <c r="X227" s="2175">
        <v>0</v>
      </c>
      <c r="Y227" s="2176">
        <v>0</v>
      </c>
      <c r="Z227" s="1996" t="s">
        <v>72</v>
      </c>
      <c r="AA227" s="2" t="s">
        <v>8</v>
      </c>
      <c r="AB227" s="1998" t="s">
        <v>1236</v>
      </c>
      <c r="AC227" s="1998" t="s">
        <v>79</v>
      </c>
      <c r="AD227" s="1996" t="s">
        <v>88</v>
      </c>
      <c r="AE227" s="2" t="s">
        <v>180</v>
      </c>
      <c r="AF227" s="2" t="s">
        <v>646</v>
      </c>
    </row>
    <row r="228" spans="1:32" ht="26.4" outlineLevel="1" x14ac:dyDescent="0.25">
      <c r="A228" s="228" t="s">
        <v>192</v>
      </c>
      <c r="B228" s="437" t="s">
        <v>378</v>
      </c>
      <c r="C228" s="1628" t="s">
        <v>202</v>
      </c>
      <c r="D228" s="1642" t="s">
        <v>228</v>
      </c>
      <c r="E228" s="1645" t="s">
        <v>193</v>
      </c>
      <c r="F228" s="1629" t="s">
        <v>193</v>
      </c>
      <c r="G228" s="1790">
        <v>204490</v>
      </c>
      <c r="H228" s="1339">
        <v>166.98</v>
      </c>
      <c r="I228" s="1239">
        <v>0</v>
      </c>
      <c r="J228" s="1340">
        <v>0</v>
      </c>
      <c r="K228" s="1189">
        <v>0</v>
      </c>
      <c r="L228" s="1195">
        <f t="shared" si="18"/>
        <v>323.0199999999968</v>
      </c>
      <c r="M228" s="1341">
        <v>323.0199999999968</v>
      </c>
      <c r="N228" s="285">
        <v>0</v>
      </c>
      <c r="O228" s="1615">
        <f t="shared" si="16"/>
        <v>323.0199999999968</v>
      </c>
      <c r="P228" s="1341">
        <v>144000</v>
      </c>
      <c r="Q228" s="1341">
        <v>60000</v>
      </c>
      <c r="R228" s="1574">
        <v>0</v>
      </c>
      <c r="S228" s="2177">
        <v>0</v>
      </c>
      <c r="T228" s="1607">
        <v>0</v>
      </c>
      <c r="U228" s="2178">
        <v>0</v>
      </c>
      <c r="V228" s="1480">
        <v>0</v>
      </c>
      <c r="W228" s="1480">
        <v>0</v>
      </c>
      <c r="X228" s="2179">
        <v>0</v>
      </c>
      <c r="Y228" s="1420">
        <v>0</v>
      </c>
      <c r="Z228" s="2000" t="s">
        <v>72</v>
      </c>
      <c r="AA228" s="1986" t="s">
        <v>8</v>
      </c>
      <c r="AB228" s="1986" t="s">
        <v>1050</v>
      </c>
      <c r="AC228" s="1986" t="s">
        <v>79</v>
      </c>
      <c r="AD228" s="2000" t="s">
        <v>91</v>
      </c>
      <c r="AE228" s="1629" t="s">
        <v>560</v>
      </c>
      <c r="AF228" s="1629" t="s">
        <v>646</v>
      </c>
    </row>
    <row r="229" spans="1:32" ht="26.4" outlineLevel="1" x14ac:dyDescent="0.25">
      <c r="A229" s="228" t="s">
        <v>194</v>
      </c>
      <c r="B229" s="437" t="s">
        <v>320</v>
      </c>
      <c r="C229" s="1628" t="s">
        <v>204</v>
      </c>
      <c r="D229" s="1629" t="s">
        <v>228</v>
      </c>
      <c r="E229" s="1629" t="s">
        <v>203</v>
      </c>
      <c r="F229" s="1629" t="s">
        <v>203</v>
      </c>
      <c r="G229" s="1790">
        <f>25880+16305.217-7110.05</f>
        <v>35075.167000000001</v>
      </c>
      <c r="H229" s="1342">
        <v>1107.1500000000001</v>
      </c>
      <c r="I229" s="1239">
        <v>0</v>
      </c>
      <c r="J229" s="1340">
        <v>0</v>
      </c>
      <c r="K229" s="1189">
        <v>0</v>
      </c>
      <c r="L229" s="1195">
        <f t="shared" si="18"/>
        <v>968.01699999999983</v>
      </c>
      <c r="M229" s="1341">
        <v>968.01699999999983</v>
      </c>
      <c r="N229" s="285">
        <v>0</v>
      </c>
      <c r="O229" s="1615">
        <f t="shared" si="16"/>
        <v>968.01699999999983</v>
      </c>
      <c r="P229" s="1341">
        <v>33000</v>
      </c>
      <c r="Q229" s="1341">
        <v>0</v>
      </c>
      <c r="R229" s="1574">
        <v>0</v>
      </c>
      <c r="S229" s="2177">
        <v>0</v>
      </c>
      <c r="T229" s="1607">
        <v>0</v>
      </c>
      <c r="U229" s="2178">
        <v>0</v>
      </c>
      <c r="V229" s="1419">
        <v>0</v>
      </c>
      <c r="W229" s="1419">
        <v>0</v>
      </c>
      <c r="X229" s="2179">
        <v>0</v>
      </c>
      <c r="Y229" s="2180">
        <v>0</v>
      </c>
      <c r="Z229" s="1985" t="s">
        <v>72</v>
      </c>
      <c r="AA229" s="1629" t="s">
        <v>6</v>
      </c>
      <c r="AB229" s="1986" t="s">
        <v>1236</v>
      </c>
      <c r="AC229" s="1986" t="s">
        <v>79</v>
      </c>
      <c r="AD229" s="2181">
        <v>2</v>
      </c>
      <c r="AE229" s="1629" t="s">
        <v>179</v>
      </c>
      <c r="AF229" s="1629" t="s">
        <v>646</v>
      </c>
    </row>
    <row r="230" spans="1:32" ht="27" outlineLevel="1" thickBot="1" x14ac:dyDescent="0.3">
      <c r="A230" s="158" t="s">
        <v>195</v>
      </c>
      <c r="B230" s="1791" t="s">
        <v>321</v>
      </c>
      <c r="C230" s="1633" t="s">
        <v>803</v>
      </c>
      <c r="D230" s="1642" t="s">
        <v>228</v>
      </c>
      <c r="E230" s="1792" t="s">
        <v>18</v>
      </c>
      <c r="F230" s="78" t="s">
        <v>18</v>
      </c>
      <c r="G230" s="1793">
        <v>20010</v>
      </c>
      <c r="H230" s="1343">
        <v>665.5</v>
      </c>
      <c r="I230" s="1246">
        <v>0</v>
      </c>
      <c r="J230" s="1344">
        <v>0</v>
      </c>
      <c r="K230" s="1222">
        <v>0</v>
      </c>
      <c r="L230" s="1223">
        <f t="shared" si="18"/>
        <v>0</v>
      </c>
      <c r="M230" s="1345">
        <v>0</v>
      </c>
      <c r="N230" s="385">
        <v>0</v>
      </c>
      <c r="O230" s="1613">
        <f t="shared" si="16"/>
        <v>0</v>
      </c>
      <c r="P230" s="1345">
        <v>19344.5</v>
      </c>
      <c r="Q230" s="1345">
        <v>0</v>
      </c>
      <c r="R230" s="2182">
        <v>0</v>
      </c>
      <c r="S230" s="2183">
        <v>0</v>
      </c>
      <c r="T230" s="2184">
        <v>0</v>
      </c>
      <c r="U230" s="2185">
        <v>0</v>
      </c>
      <c r="V230" s="1396">
        <v>0</v>
      </c>
      <c r="W230" s="1396">
        <v>0</v>
      </c>
      <c r="X230" s="2186">
        <v>0</v>
      </c>
      <c r="Y230" s="2187">
        <v>0</v>
      </c>
      <c r="Z230" s="20" t="s">
        <v>72</v>
      </c>
      <c r="AA230" s="1661" t="s">
        <v>8</v>
      </c>
      <c r="AB230" s="20" t="s">
        <v>1236</v>
      </c>
      <c r="AC230" s="20" t="s">
        <v>79</v>
      </c>
      <c r="AD230" s="86">
        <v>3</v>
      </c>
      <c r="AE230" s="78" t="s">
        <v>180</v>
      </c>
      <c r="AF230" s="78" t="s">
        <v>646</v>
      </c>
    </row>
    <row r="231" spans="1:32" ht="27" outlineLevel="1" thickBot="1" x14ac:dyDescent="0.3">
      <c r="A231" s="343" t="s">
        <v>231</v>
      </c>
      <c r="B231" s="343" t="s">
        <v>322</v>
      </c>
      <c r="C231" s="1787" t="s">
        <v>233</v>
      </c>
      <c r="D231" s="2" t="s">
        <v>1025</v>
      </c>
      <c r="E231" s="2" t="s">
        <v>232</v>
      </c>
      <c r="F231" s="2" t="s">
        <v>232</v>
      </c>
      <c r="G231" s="1789">
        <v>57486.997369999997</v>
      </c>
      <c r="H231" s="1180">
        <v>23083.073870000004</v>
      </c>
      <c r="I231" s="1346">
        <v>23189.365310000001</v>
      </c>
      <c r="J231" s="1347">
        <v>1367.09448</v>
      </c>
      <c r="K231" s="1205">
        <v>23189.365310000001</v>
      </c>
      <c r="L231" s="1206">
        <f t="shared" si="18"/>
        <v>11214.558190000003</v>
      </c>
      <c r="M231" s="1348">
        <v>34403.923500000004</v>
      </c>
      <c r="N231" s="404">
        <v>0</v>
      </c>
      <c r="O231" s="1992">
        <f t="shared" si="16"/>
        <v>34403.923500000004</v>
      </c>
      <c r="P231" s="1348">
        <v>0</v>
      </c>
      <c r="Q231" s="1348">
        <v>0</v>
      </c>
      <c r="R231" s="2174">
        <v>0</v>
      </c>
      <c r="S231" s="2175">
        <v>0</v>
      </c>
      <c r="T231" s="2188">
        <v>0</v>
      </c>
      <c r="U231" s="1564">
        <v>0</v>
      </c>
      <c r="V231" s="2174">
        <v>0</v>
      </c>
      <c r="W231" s="2174">
        <v>0</v>
      </c>
      <c r="X231" s="2175">
        <v>0</v>
      </c>
      <c r="Y231" s="2188">
        <v>0</v>
      </c>
      <c r="Z231" s="1996" t="s">
        <v>72</v>
      </c>
      <c r="AA231" s="2" t="s">
        <v>151</v>
      </c>
      <c r="AB231" s="1997" t="s">
        <v>1236</v>
      </c>
      <c r="AC231" s="1997" t="s">
        <v>80</v>
      </c>
      <c r="AD231" s="2189">
        <v>1</v>
      </c>
      <c r="AE231" s="2" t="s">
        <v>167</v>
      </c>
      <c r="AF231" s="2" t="s">
        <v>649</v>
      </c>
    </row>
    <row r="232" spans="1:32" ht="27" outlineLevel="1" thickBot="1" x14ac:dyDescent="0.3">
      <c r="A232" s="29" t="s">
        <v>270</v>
      </c>
      <c r="B232" s="1794" t="s">
        <v>379</v>
      </c>
      <c r="C232" s="1673" t="s">
        <v>480</v>
      </c>
      <c r="D232" s="1674" t="s">
        <v>1028</v>
      </c>
      <c r="E232" s="1795" t="s">
        <v>271</v>
      </c>
      <c r="F232" s="1674" t="s">
        <v>271</v>
      </c>
      <c r="G232" s="1796">
        <v>17124.311119999998</v>
      </c>
      <c r="H232" s="1180">
        <v>11730.868050000001</v>
      </c>
      <c r="I232" s="1349">
        <v>5393.4430700000003</v>
      </c>
      <c r="J232" s="1350">
        <v>0</v>
      </c>
      <c r="K232" s="1351">
        <v>5393.4430700000003</v>
      </c>
      <c r="L232" s="1352">
        <f t="shared" si="18"/>
        <v>0</v>
      </c>
      <c r="M232" s="1353">
        <v>5393.4430699999994</v>
      </c>
      <c r="N232" s="357">
        <v>0</v>
      </c>
      <c r="O232" s="2026">
        <f t="shared" si="16"/>
        <v>5393.4430699999994</v>
      </c>
      <c r="P232" s="1353">
        <v>0</v>
      </c>
      <c r="Q232" s="1353">
        <v>0</v>
      </c>
      <c r="R232" s="2168">
        <v>0</v>
      </c>
      <c r="S232" s="2169">
        <v>0</v>
      </c>
      <c r="T232" s="2190">
        <v>0</v>
      </c>
      <c r="U232" s="1550">
        <v>0</v>
      </c>
      <c r="V232" s="2168">
        <v>0</v>
      </c>
      <c r="W232" s="2168">
        <v>0</v>
      </c>
      <c r="X232" s="2169">
        <v>0</v>
      </c>
      <c r="Y232" s="2190">
        <v>0</v>
      </c>
      <c r="Z232" s="2172" t="s">
        <v>72</v>
      </c>
      <c r="AA232" s="1674" t="s">
        <v>83</v>
      </c>
      <c r="AB232" s="2171" t="s">
        <v>533</v>
      </c>
      <c r="AC232" s="2171" t="s">
        <v>80</v>
      </c>
      <c r="AD232" s="2172">
        <v>1</v>
      </c>
      <c r="AE232" s="1674" t="s">
        <v>177</v>
      </c>
      <c r="AF232" s="1674" t="s">
        <v>649</v>
      </c>
    </row>
    <row r="233" spans="1:32" ht="27" outlineLevel="1" thickBot="1" x14ac:dyDescent="0.3">
      <c r="A233" s="602" t="s">
        <v>380</v>
      </c>
      <c r="B233" s="779" t="s">
        <v>507</v>
      </c>
      <c r="C233" s="604" t="s">
        <v>421</v>
      </c>
      <c r="D233" s="67" t="s">
        <v>1693</v>
      </c>
      <c r="E233" s="136" t="s">
        <v>393</v>
      </c>
      <c r="F233" s="143" t="s">
        <v>393</v>
      </c>
      <c r="G233" s="641">
        <v>4000</v>
      </c>
      <c r="H233" s="479">
        <v>238</v>
      </c>
      <c r="I233" s="473">
        <v>0</v>
      </c>
      <c r="J233" s="780">
        <v>438.02</v>
      </c>
      <c r="K233" s="560">
        <v>0</v>
      </c>
      <c r="L233" s="759">
        <f t="shared" si="18"/>
        <v>1762</v>
      </c>
      <c r="M233" s="781">
        <v>3762</v>
      </c>
      <c r="N233" s="782">
        <v>-2000</v>
      </c>
      <c r="O233" s="559">
        <f t="shared" si="16"/>
        <v>1762</v>
      </c>
      <c r="P233" s="783">
        <v>2000</v>
      </c>
      <c r="Q233" s="783">
        <v>0</v>
      </c>
      <c r="R233" s="739">
        <v>0</v>
      </c>
      <c r="S233" s="749">
        <v>0</v>
      </c>
      <c r="T233" s="784">
        <v>0</v>
      </c>
      <c r="U233" s="643">
        <v>0</v>
      </c>
      <c r="V233" s="739">
        <v>0</v>
      </c>
      <c r="W233" s="739">
        <v>0</v>
      </c>
      <c r="X233" s="749">
        <v>0</v>
      </c>
      <c r="Y233" s="740">
        <v>0</v>
      </c>
      <c r="Z233" s="143" t="s">
        <v>1753</v>
      </c>
      <c r="AA233" s="143" t="s">
        <v>10</v>
      </c>
      <c r="AB233" s="764" t="s">
        <v>1236</v>
      </c>
      <c r="AC233" s="764" t="s">
        <v>80</v>
      </c>
      <c r="AD233" s="170">
        <v>2</v>
      </c>
      <c r="AE233" s="143" t="s">
        <v>181</v>
      </c>
      <c r="AF233" s="143" t="s">
        <v>649</v>
      </c>
    </row>
    <row r="234" spans="1:32" ht="31.2" outlineLevel="1" x14ac:dyDescent="0.25">
      <c r="A234" s="457" t="s">
        <v>422</v>
      </c>
      <c r="B234" s="785" t="s">
        <v>481</v>
      </c>
      <c r="C234" s="684" t="s">
        <v>423</v>
      </c>
      <c r="D234" s="40" t="s">
        <v>945</v>
      </c>
      <c r="E234" s="32" t="s">
        <v>17</v>
      </c>
      <c r="F234" s="41" t="s">
        <v>17</v>
      </c>
      <c r="G234" s="650">
        <v>4410</v>
      </c>
      <c r="H234" s="161">
        <v>759.88</v>
      </c>
      <c r="I234" s="453">
        <v>0</v>
      </c>
      <c r="J234" s="786">
        <v>0</v>
      </c>
      <c r="K234" s="454">
        <v>0</v>
      </c>
      <c r="L234" s="647">
        <f t="shared" si="18"/>
        <v>1150.1199999999999</v>
      </c>
      <c r="M234" s="688">
        <v>3650.12</v>
      </c>
      <c r="N234" s="787">
        <v>-2500</v>
      </c>
      <c r="O234" s="462">
        <f t="shared" si="16"/>
        <v>1150.1199999999999</v>
      </c>
      <c r="P234" s="619">
        <v>2500</v>
      </c>
      <c r="Q234" s="688">
        <v>0</v>
      </c>
      <c r="R234" s="691">
        <v>0</v>
      </c>
      <c r="S234" s="190">
        <v>0</v>
      </c>
      <c r="T234" s="653">
        <v>0</v>
      </c>
      <c r="U234" s="619">
        <v>0</v>
      </c>
      <c r="V234" s="690">
        <v>0</v>
      </c>
      <c r="W234" s="690">
        <v>0</v>
      </c>
      <c r="X234" s="190">
        <v>0</v>
      </c>
      <c r="Y234" s="100">
        <v>0</v>
      </c>
      <c r="Z234" s="173" t="s">
        <v>1754</v>
      </c>
      <c r="AA234" s="788" t="s">
        <v>8</v>
      </c>
      <c r="AB234" s="456" t="s">
        <v>1236</v>
      </c>
      <c r="AC234" s="466" t="s">
        <v>79</v>
      </c>
      <c r="AD234" s="169" t="s">
        <v>88</v>
      </c>
      <c r="AE234" s="41" t="s">
        <v>169</v>
      </c>
      <c r="AF234" s="41" t="s">
        <v>649</v>
      </c>
    </row>
    <row r="235" spans="1:32" ht="31.2" outlineLevel="1" x14ac:dyDescent="0.25">
      <c r="A235" s="245" t="s">
        <v>424</v>
      </c>
      <c r="B235" s="1797" t="s">
        <v>482</v>
      </c>
      <c r="C235" s="1798" t="s">
        <v>425</v>
      </c>
      <c r="D235" s="1707" t="s">
        <v>945</v>
      </c>
      <c r="E235" s="1708" t="s">
        <v>65</v>
      </c>
      <c r="F235" s="1799" t="s">
        <v>65</v>
      </c>
      <c r="G235" s="1800">
        <f>8429.947+2200-754.32728</f>
        <v>9875.6197200000006</v>
      </c>
      <c r="H235" s="1354">
        <v>2636.2456000000002</v>
      </c>
      <c r="I235" s="1294">
        <v>3919.6565600000004</v>
      </c>
      <c r="J235" s="1355">
        <v>3319.71756</v>
      </c>
      <c r="K235" s="1356">
        <v>3919.6565599999999</v>
      </c>
      <c r="L235" s="1357">
        <f t="shared" si="18"/>
        <v>3319.7175600000005</v>
      </c>
      <c r="M235" s="1358">
        <v>7993.7013999999999</v>
      </c>
      <c r="N235" s="215">
        <v>-754.32727999999997</v>
      </c>
      <c r="O235" s="1816">
        <f t="shared" si="16"/>
        <v>7239.3741200000004</v>
      </c>
      <c r="P235" s="1561">
        <v>0</v>
      </c>
      <c r="Q235" s="1372">
        <v>0</v>
      </c>
      <c r="R235" s="2191">
        <v>0</v>
      </c>
      <c r="S235" s="2192">
        <v>0</v>
      </c>
      <c r="T235" s="1579">
        <v>0</v>
      </c>
      <c r="U235" s="1561">
        <v>0</v>
      </c>
      <c r="V235" s="2193">
        <v>0</v>
      </c>
      <c r="W235" s="2193">
        <v>0</v>
      </c>
      <c r="X235" s="2192">
        <v>0</v>
      </c>
      <c r="Y235" s="1598">
        <v>0</v>
      </c>
      <c r="Z235" s="2194" t="s">
        <v>1755</v>
      </c>
      <c r="AA235" s="2195" t="s">
        <v>83</v>
      </c>
      <c r="AB235" s="2077" t="s">
        <v>533</v>
      </c>
      <c r="AC235" s="2077" t="s">
        <v>80</v>
      </c>
      <c r="AD235" s="2196" t="s">
        <v>89</v>
      </c>
      <c r="AE235" s="1707" t="s">
        <v>175</v>
      </c>
      <c r="AF235" s="1707" t="s">
        <v>646</v>
      </c>
    </row>
    <row r="236" spans="1:32" ht="31.2" outlineLevel="1" x14ac:dyDescent="0.25">
      <c r="A236" s="222" t="s">
        <v>426</v>
      </c>
      <c r="B236" s="437" t="s">
        <v>483</v>
      </c>
      <c r="C236" s="1641" t="s">
        <v>875</v>
      </c>
      <c r="D236" s="1642" t="s">
        <v>945</v>
      </c>
      <c r="E236" s="1645" t="s">
        <v>62</v>
      </c>
      <c r="F236" s="1630" t="s">
        <v>62</v>
      </c>
      <c r="G236" s="1790">
        <v>3000</v>
      </c>
      <c r="H236" s="1359">
        <v>0</v>
      </c>
      <c r="I236" s="1239">
        <v>0</v>
      </c>
      <c r="J236" s="1340">
        <v>0</v>
      </c>
      <c r="K236" s="1190">
        <v>0</v>
      </c>
      <c r="L236" s="1195">
        <f t="shared" si="18"/>
        <v>3000</v>
      </c>
      <c r="M236" s="1341">
        <v>3000</v>
      </c>
      <c r="N236" s="181">
        <v>0</v>
      </c>
      <c r="O236" s="1615">
        <f t="shared" si="16"/>
        <v>3000</v>
      </c>
      <c r="P236" s="1572">
        <v>0</v>
      </c>
      <c r="Q236" s="1341">
        <v>0</v>
      </c>
      <c r="R236" s="1607">
        <v>0</v>
      </c>
      <c r="S236" s="2177">
        <v>0</v>
      </c>
      <c r="T236" s="1573">
        <v>0</v>
      </c>
      <c r="U236" s="1572">
        <v>0</v>
      </c>
      <c r="V236" s="1574">
        <v>0</v>
      </c>
      <c r="W236" s="1574">
        <v>0</v>
      </c>
      <c r="X236" s="2177">
        <v>0</v>
      </c>
      <c r="Y236" s="1606">
        <v>0</v>
      </c>
      <c r="Z236" s="1985" t="s">
        <v>72</v>
      </c>
      <c r="AA236" s="1629" t="s">
        <v>10</v>
      </c>
      <c r="AB236" s="2044" t="s">
        <v>1236</v>
      </c>
      <c r="AC236" s="1987" t="s">
        <v>80</v>
      </c>
      <c r="AD236" s="1985">
        <v>1</v>
      </c>
      <c r="AE236" s="1629" t="s">
        <v>180</v>
      </c>
      <c r="AF236" s="1629" t="s">
        <v>646</v>
      </c>
    </row>
    <row r="237" spans="1:32" ht="31.8" outlineLevel="1" thickBot="1" x14ac:dyDescent="0.3">
      <c r="A237" s="552" t="s">
        <v>427</v>
      </c>
      <c r="B237" s="609" t="s">
        <v>484</v>
      </c>
      <c r="C237" s="663" t="s">
        <v>876</v>
      </c>
      <c r="D237" s="980" t="s">
        <v>945</v>
      </c>
      <c r="E237" s="69" t="s">
        <v>66</v>
      </c>
      <c r="F237" s="56" t="s">
        <v>66</v>
      </c>
      <c r="G237" s="664">
        <v>25000</v>
      </c>
      <c r="H237" s="672">
        <v>63</v>
      </c>
      <c r="I237" s="670">
        <v>0</v>
      </c>
      <c r="J237" s="790">
        <v>25.41</v>
      </c>
      <c r="K237" s="791">
        <v>0</v>
      </c>
      <c r="L237" s="669">
        <f t="shared" si="18"/>
        <v>337</v>
      </c>
      <c r="M237" s="714">
        <v>937</v>
      </c>
      <c r="N237" s="782">
        <v>-600</v>
      </c>
      <c r="O237" s="111">
        <f t="shared" si="16"/>
        <v>337</v>
      </c>
      <c r="P237" s="666">
        <v>24600</v>
      </c>
      <c r="Q237" s="714">
        <v>0</v>
      </c>
      <c r="R237" s="717">
        <v>0</v>
      </c>
      <c r="S237" s="753">
        <v>0</v>
      </c>
      <c r="T237" s="667">
        <v>0</v>
      </c>
      <c r="U237" s="666">
        <v>0</v>
      </c>
      <c r="V237" s="716">
        <v>0</v>
      </c>
      <c r="W237" s="716">
        <v>0</v>
      </c>
      <c r="X237" s="753">
        <v>0</v>
      </c>
      <c r="Y237" s="715">
        <v>0</v>
      </c>
      <c r="Z237" s="56" t="s">
        <v>1756</v>
      </c>
      <c r="AA237" s="143" t="s">
        <v>8</v>
      </c>
      <c r="AB237" s="112" t="s">
        <v>1236</v>
      </c>
      <c r="AC237" s="112" t="s">
        <v>79</v>
      </c>
      <c r="AD237" s="145" t="s">
        <v>88</v>
      </c>
      <c r="AE237" s="56" t="s">
        <v>168</v>
      </c>
      <c r="AF237" s="56" t="s">
        <v>646</v>
      </c>
    </row>
    <row r="238" spans="1:32" ht="26.4" outlineLevel="1" x14ac:dyDescent="0.25">
      <c r="A238" s="446" t="s">
        <v>485</v>
      </c>
      <c r="B238" s="792" t="s">
        <v>508</v>
      </c>
      <c r="C238" s="687" t="s">
        <v>712</v>
      </c>
      <c r="D238" s="40" t="s">
        <v>1057</v>
      </c>
      <c r="E238" s="52" t="s">
        <v>486</v>
      </c>
      <c r="F238" s="40" t="s">
        <v>486</v>
      </c>
      <c r="G238" s="793">
        <v>22324</v>
      </c>
      <c r="H238" s="161">
        <v>658.24</v>
      </c>
      <c r="I238" s="453">
        <v>3114.22606</v>
      </c>
      <c r="J238" s="786">
        <v>6085.0486999999994</v>
      </c>
      <c r="K238" s="392">
        <v>3114.22606</v>
      </c>
      <c r="L238" s="647">
        <f t="shared" si="18"/>
        <v>8051.5339400000021</v>
      </c>
      <c r="M238" s="688">
        <v>15665.760000000002</v>
      </c>
      <c r="N238" s="794">
        <v>-4500</v>
      </c>
      <c r="O238" s="622">
        <f t="shared" si="16"/>
        <v>11165.760000000002</v>
      </c>
      <c r="P238" s="618">
        <v>10500</v>
      </c>
      <c r="Q238" s="688">
        <v>0</v>
      </c>
      <c r="R238" s="691">
        <v>0</v>
      </c>
      <c r="S238" s="744">
        <v>0</v>
      </c>
      <c r="T238" s="691">
        <v>0</v>
      </c>
      <c r="U238" s="619">
        <v>0</v>
      </c>
      <c r="V238" s="690">
        <v>0</v>
      </c>
      <c r="W238" s="690">
        <v>0</v>
      </c>
      <c r="X238" s="744">
        <v>0</v>
      </c>
      <c r="Y238" s="689">
        <v>0</v>
      </c>
      <c r="Z238" s="46" t="s">
        <v>1757</v>
      </c>
      <c r="AA238" s="41" t="s">
        <v>10</v>
      </c>
      <c r="AB238" s="113" t="s">
        <v>1236</v>
      </c>
      <c r="AC238" s="113" t="s">
        <v>80</v>
      </c>
      <c r="AD238" s="162">
        <v>1</v>
      </c>
      <c r="AE238" s="40" t="s">
        <v>171</v>
      </c>
      <c r="AF238" s="40" t="s">
        <v>646</v>
      </c>
    </row>
    <row r="239" spans="1:32" ht="31.2" outlineLevel="1" x14ac:dyDescent="0.25">
      <c r="A239" s="446" t="s">
        <v>487</v>
      </c>
      <c r="B239" s="785" t="s">
        <v>510</v>
      </c>
      <c r="C239" s="687" t="s">
        <v>488</v>
      </c>
      <c r="D239" s="40" t="s">
        <v>1758</v>
      </c>
      <c r="E239" s="32" t="s">
        <v>25</v>
      </c>
      <c r="F239" s="41" t="s">
        <v>25</v>
      </c>
      <c r="G239" s="617">
        <v>108900</v>
      </c>
      <c r="H239" s="795">
        <v>0</v>
      </c>
      <c r="I239" s="453">
        <v>5127.9799999999996</v>
      </c>
      <c r="J239" s="786">
        <v>0</v>
      </c>
      <c r="K239" s="392">
        <v>5127.9799999999996</v>
      </c>
      <c r="L239" s="647">
        <f t="shared" si="18"/>
        <v>4872.0200000000004</v>
      </c>
      <c r="M239" s="101">
        <v>13900</v>
      </c>
      <c r="N239" s="264">
        <v>-3900</v>
      </c>
      <c r="O239" s="462">
        <f t="shared" si="16"/>
        <v>10000</v>
      </c>
      <c r="P239" s="618">
        <v>98900</v>
      </c>
      <c r="Q239" s="688">
        <v>0</v>
      </c>
      <c r="R239" s="691">
        <v>0</v>
      </c>
      <c r="S239" s="744">
        <v>0</v>
      </c>
      <c r="T239" s="691">
        <v>0</v>
      </c>
      <c r="U239" s="619">
        <v>0</v>
      </c>
      <c r="V239" s="690">
        <v>0</v>
      </c>
      <c r="W239" s="690">
        <v>0</v>
      </c>
      <c r="X239" s="744">
        <v>0</v>
      </c>
      <c r="Y239" s="689">
        <v>0</v>
      </c>
      <c r="Z239" s="169" t="s">
        <v>1759</v>
      </c>
      <c r="AA239" s="41" t="s">
        <v>8</v>
      </c>
      <c r="AB239" s="456" t="s">
        <v>1236</v>
      </c>
      <c r="AC239" s="456" t="s">
        <v>79</v>
      </c>
      <c r="AD239" s="162" t="s">
        <v>88</v>
      </c>
      <c r="AE239" s="40" t="s">
        <v>174</v>
      </c>
      <c r="AF239" s="40" t="s">
        <v>649</v>
      </c>
    </row>
    <row r="240" spans="1:32" ht="26.4" outlineLevel="1" x14ac:dyDescent="0.25">
      <c r="A240" s="457" t="s">
        <v>489</v>
      </c>
      <c r="B240" s="785" t="s">
        <v>511</v>
      </c>
      <c r="C240" s="684" t="s">
        <v>490</v>
      </c>
      <c r="D240" s="40" t="s">
        <v>1760</v>
      </c>
      <c r="E240" s="32" t="s">
        <v>491</v>
      </c>
      <c r="F240" s="41" t="s">
        <v>491</v>
      </c>
      <c r="G240" s="650">
        <v>30000</v>
      </c>
      <c r="H240" s="795">
        <v>0</v>
      </c>
      <c r="I240" s="463">
        <v>0</v>
      </c>
      <c r="J240" s="796">
        <v>95</v>
      </c>
      <c r="K240" s="797">
        <v>0</v>
      </c>
      <c r="L240" s="654">
        <f t="shared" si="18"/>
        <v>500</v>
      </c>
      <c r="M240" s="101">
        <v>3000</v>
      </c>
      <c r="N240" s="462">
        <v>-2500</v>
      </c>
      <c r="O240" s="462">
        <f t="shared" si="16"/>
        <v>500</v>
      </c>
      <c r="P240" s="651">
        <v>2500</v>
      </c>
      <c r="Q240" s="101">
        <v>27000</v>
      </c>
      <c r="R240" s="680">
        <v>0</v>
      </c>
      <c r="S240" s="190">
        <v>0</v>
      </c>
      <c r="T240" s="680">
        <v>0</v>
      </c>
      <c r="U240" s="652">
        <v>0</v>
      </c>
      <c r="V240" s="677">
        <v>0</v>
      </c>
      <c r="W240" s="677">
        <v>0</v>
      </c>
      <c r="X240" s="190">
        <v>0</v>
      </c>
      <c r="Y240" s="100">
        <v>0</v>
      </c>
      <c r="Z240" s="41" t="s">
        <v>1761</v>
      </c>
      <c r="AA240" s="41" t="s">
        <v>8</v>
      </c>
      <c r="AB240" s="456" t="s">
        <v>1076</v>
      </c>
      <c r="AC240" s="466" t="s">
        <v>79</v>
      </c>
      <c r="AD240" s="169" t="s">
        <v>88</v>
      </c>
      <c r="AE240" s="41" t="s">
        <v>167</v>
      </c>
      <c r="AF240" s="41" t="s">
        <v>649</v>
      </c>
    </row>
    <row r="241" spans="1:32" ht="26.4" outlineLevel="1" x14ac:dyDescent="0.25">
      <c r="A241" s="222" t="s">
        <v>492</v>
      </c>
      <c r="B241" s="437" t="s">
        <v>512</v>
      </c>
      <c r="C241" s="1628" t="s">
        <v>493</v>
      </c>
      <c r="D241" s="1642" t="s">
        <v>1762</v>
      </c>
      <c r="E241" s="1645" t="s">
        <v>1263</v>
      </c>
      <c r="F241" s="1629" t="s">
        <v>1263</v>
      </c>
      <c r="G241" s="1790">
        <v>40000</v>
      </c>
      <c r="H241" s="1359">
        <v>31</v>
      </c>
      <c r="I241" s="1239">
        <v>918.39</v>
      </c>
      <c r="J241" s="1340">
        <v>192.5</v>
      </c>
      <c r="K241" s="1190">
        <v>918.39</v>
      </c>
      <c r="L241" s="1195">
        <f t="shared" si="18"/>
        <v>4050.61</v>
      </c>
      <c r="M241" s="1341">
        <v>4969</v>
      </c>
      <c r="N241" s="180">
        <v>0</v>
      </c>
      <c r="O241" s="1615">
        <f t="shared" si="16"/>
        <v>4969</v>
      </c>
      <c r="P241" s="2197">
        <v>35000</v>
      </c>
      <c r="Q241" s="1341">
        <v>0</v>
      </c>
      <c r="R241" s="1607">
        <v>0</v>
      </c>
      <c r="S241" s="2177">
        <v>0</v>
      </c>
      <c r="T241" s="1607">
        <v>0</v>
      </c>
      <c r="U241" s="1572">
        <v>0</v>
      </c>
      <c r="V241" s="1574">
        <v>0</v>
      </c>
      <c r="W241" s="1574">
        <v>0</v>
      </c>
      <c r="X241" s="2177">
        <v>0</v>
      </c>
      <c r="Y241" s="1606">
        <v>0</v>
      </c>
      <c r="Z241" s="2017" t="s">
        <v>72</v>
      </c>
      <c r="AA241" s="1629" t="s">
        <v>8</v>
      </c>
      <c r="AB241" s="2043" t="s">
        <v>1236</v>
      </c>
      <c r="AC241" s="1987" t="s">
        <v>79</v>
      </c>
      <c r="AD241" s="1985" t="s">
        <v>90</v>
      </c>
      <c r="AE241" s="1629" t="s">
        <v>178</v>
      </c>
      <c r="AF241" s="1629" t="s">
        <v>646</v>
      </c>
    </row>
    <row r="242" spans="1:32" ht="27" outlineLevel="1" thickBot="1" x14ac:dyDescent="0.3">
      <c r="A242" s="552" t="s">
        <v>494</v>
      </c>
      <c r="B242" s="609" t="s">
        <v>1251</v>
      </c>
      <c r="C242" s="663" t="s">
        <v>495</v>
      </c>
      <c r="D242" s="56" t="s">
        <v>1763</v>
      </c>
      <c r="E242" s="69" t="s">
        <v>4</v>
      </c>
      <c r="F242" s="56" t="s">
        <v>496</v>
      </c>
      <c r="G242" s="664">
        <v>350000</v>
      </c>
      <c r="H242" s="672">
        <v>0</v>
      </c>
      <c r="I242" s="670">
        <v>500</v>
      </c>
      <c r="J242" s="790">
        <v>2631.25</v>
      </c>
      <c r="K242" s="791">
        <v>500</v>
      </c>
      <c r="L242" s="669">
        <f t="shared" si="18"/>
        <v>4500</v>
      </c>
      <c r="M242" s="714">
        <v>40000</v>
      </c>
      <c r="N242" s="798">
        <v>-35000</v>
      </c>
      <c r="O242" s="111">
        <f t="shared" si="16"/>
        <v>5000</v>
      </c>
      <c r="P242" s="665">
        <v>285000</v>
      </c>
      <c r="Q242" s="714">
        <v>60000</v>
      </c>
      <c r="R242" s="717">
        <v>0</v>
      </c>
      <c r="S242" s="753">
        <v>0</v>
      </c>
      <c r="T242" s="717">
        <v>0</v>
      </c>
      <c r="U242" s="666">
        <v>0</v>
      </c>
      <c r="V242" s="716">
        <v>0</v>
      </c>
      <c r="W242" s="716">
        <v>0</v>
      </c>
      <c r="X242" s="753">
        <v>0</v>
      </c>
      <c r="Y242" s="715">
        <v>0</v>
      </c>
      <c r="Z242" s="170" t="s">
        <v>1764</v>
      </c>
      <c r="AA242" s="56" t="s">
        <v>6</v>
      </c>
      <c r="AB242" s="764" t="s">
        <v>1236</v>
      </c>
      <c r="AC242" s="561" t="s">
        <v>79</v>
      </c>
      <c r="AD242" s="145" t="s">
        <v>88</v>
      </c>
      <c r="AE242" s="56" t="s">
        <v>167</v>
      </c>
      <c r="AF242" s="143" t="s">
        <v>649</v>
      </c>
    </row>
    <row r="243" spans="1:32" ht="31.2" outlineLevel="1" x14ac:dyDescent="0.25">
      <c r="A243" s="225" t="s">
        <v>513</v>
      </c>
      <c r="B243" s="228" t="s">
        <v>514</v>
      </c>
      <c r="C243" s="1641" t="s">
        <v>515</v>
      </c>
      <c r="D243" s="1642" t="s">
        <v>1009</v>
      </c>
      <c r="E243" s="1643" t="s">
        <v>516</v>
      </c>
      <c r="F243" s="1642" t="s">
        <v>516</v>
      </c>
      <c r="G243" s="1801">
        <v>34000</v>
      </c>
      <c r="H243" s="1342">
        <v>78.349999999999994</v>
      </c>
      <c r="I243" s="1237">
        <v>0</v>
      </c>
      <c r="J243" s="1360">
        <v>0</v>
      </c>
      <c r="K243" s="1238">
        <v>0</v>
      </c>
      <c r="L243" s="1185">
        <f t="shared" si="18"/>
        <v>4421.6499999999996</v>
      </c>
      <c r="M243" s="1361">
        <v>4421.6499999999996</v>
      </c>
      <c r="N243" s="233">
        <v>0</v>
      </c>
      <c r="O243" s="1617">
        <f t="shared" si="16"/>
        <v>4421.6499999999996</v>
      </c>
      <c r="P243" s="1542">
        <v>13000</v>
      </c>
      <c r="Q243" s="1361">
        <v>0</v>
      </c>
      <c r="R243" s="1608">
        <v>0</v>
      </c>
      <c r="S243" s="2198">
        <v>16500</v>
      </c>
      <c r="T243" s="1608">
        <v>0</v>
      </c>
      <c r="U243" s="1543">
        <v>0</v>
      </c>
      <c r="V243" s="1576">
        <v>0</v>
      </c>
      <c r="W243" s="1576">
        <v>0</v>
      </c>
      <c r="X243" s="2198">
        <v>0</v>
      </c>
      <c r="Y243" s="1609">
        <v>0</v>
      </c>
      <c r="Z243" s="2017" t="s">
        <v>72</v>
      </c>
      <c r="AA243" s="1642" t="s">
        <v>8</v>
      </c>
      <c r="AB243" s="2043" t="s">
        <v>1236</v>
      </c>
      <c r="AC243" s="2043" t="s">
        <v>79</v>
      </c>
      <c r="AD243" s="2017" t="s">
        <v>90</v>
      </c>
      <c r="AE243" s="1642" t="s">
        <v>166</v>
      </c>
      <c r="AF243" s="1642"/>
    </row>
    <row r="244" spans="1:32" ht="27" outlineLevel="1" thickBot="1" x14ac:dyDescent="0.3">
      <c r="A244" s="552" t="s">
        <v>517</v>
      </c>
      <c r="B244" s="609" t="s">
        <v>518</v>
      </c>
      <c r="C244" s="663" t="s">
        <v>519</v>
      </c>
      <c r="D244" s="56" t="s">
        <v>1009</v>
      </c>
      <c r="E244" s="69" t="s">
        <v>520</v>
      </c>
      <c r="F244" s="56" t="s">
        <v>520</v>
      </c>
      <c r="G244" s="664">
        <v>43000</v>
      </c>
      <c r="H244" s="816">
        <v>774.4</v>
      </c>
      <c r="I244" s="670">
        <v>0</v>
      </c>
      <c r="J244" s="790">
        <v>8343.0053399999997</v>
      </c>
      <c r="K244" s="791">
        <v>0</v>
      </c>
      <c r="L244" s="669">
        <f t="shared" si="18"/>
        <v>27225.599999999999</v>
      </c>
      <c r="M244" s="714">
        <v>42225.599999999999</v>
      </c>
      <c r="N244" s="799">
        <v>-15000</v>
      </c>
      <c r="O244" s="111">
        <f t="shared" si="16"/>
        <v>27225.599999999999</v>
      </c>
      <c r="P244" s="665">
        <v>15000</v>
      </c>
      <c r="Q244" s="714">
        <v>0</v>
      </c>
      <c r="R244" s="680">
        <v>0</v>
      </c>
      <c r="S244" s="190">
        <v>0</v>
      </c>
      <c r="T244" s="680">
        <v>0</v>
      </c>
      <c r="U244" s="652">
        <v>0</v>
      </c>
      <c r="V244" s="677">
        <v>0</v>
      </c>
      <c r="W244" s="677">
        <v>0</v>
      </c>
      <c r="X244" s="190">
        <v>0</v>
      </c>
      <c r="Y244" s="100">
        <v>0</v>
      </c>
      <c r="Z244" s="143" t="s">
        <v>1765</v>
      </c>
      <c r="AA244" s="40" t="s">
        <v>10</v>
      </c>
      <c r="AB244" s="456" t="s">
        <v>1766</v>
      </c>
      <c r="AC244" s="456" t="s">
        <v>80</v>
      </c>
      <c r="AD244" s="162" t="s">
        <v>90</v>
      </c>
      <c r="AE244" s="40" t="s">
        <v>183</v>
      </c>
      <c r="AF244" s="40"/>
    </row>
    <row r="245" spans="1:32" ht="40.200000000000003" outlineLevel="1" thickBot="1" x14ac:dyDescent="0.3">
      <c r="A245" s="195" t="s">
        <v>521</v>
      </c>
      <c r="B245" s="158" t="s">
        <v>522</v>
      </c>
      <c r="C245" s="1633" t="s">
        <v>523</v>
      </c>
      <c r="D245" s="78" t="s">
        <v>1009</v>
      </c>
      <c r="E245" s="1667" t="s">
        <v>524</v>
      </c>
      <c r="F245" s="78" t="s">
        <v>524</v>
      </c>
      <c r="G245" s="1793">
        <v>10000</v>
      </c>
      <c r="H245" s="1343">
        <v>260.14999999999998</v>
      </c>
      <c r="I245" s="1246">
        <v>0</v>
      </c>
      <c r="J245" s="1344">
        <v>0</v>
      </c>
      <c r="K245" s="1614">
        <v>0</v>
      </c>
      <c r="L245" s="1223">
        <f t="shared" si="18"/>
        <v>3739.8500000000004</v>
      </c>
      <c r="M245" s="1345">
        <v>3739.8500000000004</v>
      </c>
      <c r="N245" s="178">
        <v>0</v>
      </c>
      <c r="O245" s="1613">
        <f t="shared" si="16"/>
        <v>3739.8500000000004</v>
      </c>
      <c r="P245" s="1538">
        <v>6000</v>
      </c>
      <c r="Q245" s="1345">
        <v>0</v>
      </c>
      <c r="R245" s="1600">
        <v>0</v>
      </c>
      <c r="S245" s="2199">
        <v>0</v>
      </c>
      <c r="T245" s="1600">
        <v>0</v>
      </c>
      <c r="U245" s="1567">
        <v>0</v>
      </c>
      <c r="V245" s="1590">
        <v>0</v>
      </c>
      <c r="W245" s="1590">
        <v>0</v>
      </c>
      <c r="X245" s="2199">
        <v>0</v>
      </c>
      <c r="Y245" s="1593">
        <v>0</v>
      </c>
      <c r="Z245" s="38" t="s">
        <v>72</v>
      </c>
      <c r="AA245" s="1661" t="s">
        <v>10</v>
      </c>
      <c r="AB245" s="21" t="s">
        <v>1236</v>
      </c>
      <c r="AC245" s="21" t="s">
        <v>80</v>
      </c>
      <c r="AD245" s="38">
        <v>1</v>
      </c>
      <c r="AE245" s="78" t="s">
        <v>181</v>
      </c>
      <c r="AF245" s="78"/>
    </row>
    <row r="246" spans="1:32" ht="31.2" outlineLevel="1" x14ac:dyDescent="0.25">
      <c r="A246" s="446" t="s">
        <v>566</v>
      </c>
      <c r="B246" s="792" t="s">
        <v>970</v>
      </c>
      <c r="C246" s="800" t="s">
        <v>946</v>
      </c>
      <c r="D246" s="46" t="s">
        <v>1008</v>
      </c>
      <c r="E246" s="75" t="s">
        <v>567</v>
      </c>
      <c r="F246" s="46" t="s">
        <v>567</v>
      </c>
      <c r="G246" s="801">
        <v>11000</v>
      </c>
      <c r="H246" s="802">
        <v>380</v>
      </c>
      <c r="I246" s="803">
        <v>0</v>
      </c>
      <c r="J246" s="804">
        <v>0</v>
      </c>
      <c r="K246" s="805">
        <v>0</v>
      </c>
      <c r="L246" s="806">
        <f t="shared" si="18"/>
        <v>1620</v>
      </c>
      <c r="M246" s="807">
        <v>6620</v>
      </c>
      <c r="N246" s="808">
        <v>-5000</v>
      </c>
      <c r="O246" s="622">
        <f t="shared" si="16"/>
        <v>1620</v>
      </c>
      <c r="P246" s="807">
        <v>9000</v>
      </c>
      <c r="Q246" s="807">
        <v>0</v>
      </c>
      <c r="R246" s="809">
        <v>0</v>
      </c>
      <c r="S246" s="810">
        <v>0</v>
      </c>
      <c r="T246" s="811">
        <v>0</v>
      </c>
      <c r="U246" s="812">
        <v>0</v>
      </c>
      <c r="V246" s="813">
        <v>0</v>
      </c>
      <c r="W246" s="813">
        <v>0</v>
      </c>
      <c r="X246" s="810">
        <v>0</v>
      </c>
      <c r="Y246" s="811">
        <v>0</v>
      </c>
      <c r="Z246" s="173" t="s">
        <v>1767</v>
      </c>
      <c r="AA246" s="46" t="s">
        <v>6</v>
      </c>
      <c r="AB246" s="113" t="s">
        <v>1236</v>
      </c>
      <c r="AC246" s="814" t="s">
        <v>79</v>
      </c>
      <c r="AD246" s="173" t="s">
        <v>90</v>
      </c>
      <c r="AE246" s="46" t="s">
        <v>560</v>
      </c>
      <c r="AF246" s="46"/>
    </row>
    <row r="247" spans="1:32" ht="27" outlineLevel="1" thickBot="1" x14ac:dyDescent="0.3">
      <c r="A247" s="226" t="s">
        <v>568</v>
      </c>
      <c r="B247" s="1791" t="s">
        <v>713</v>
      </c>
      <c r="C247" s="1660" t="s">
        <v>1264</v>
      </c>
      <c r="D247" s="1661" t="s">
        <v>1008</v>
      </c>
      <c r="E247" s="1662" t="s">
        <v>569</v>
      </c>
      <c r="F247" s="1661" t="s">
        <v>569</v>
      </c>
      <c r="G247" s="1802">
        <v>9700</v>
      </c>
      <c r="H247" s="1218">
        <v>0</v>
      </c>
      <c r="I247" s="1273">
        <v>0</v>
      </c>
      <c r="J247" s="1363">
        <v>547.404</v>
      </c>
      <c r="K247" s="1216">
        <v>0</v>
      </c>
      <c r="L247" s="1217">
        <f t="shared" si="18"/>
        <v>1000</v>
      </c>
      <c r="M247" s="1364">
        <v>1000</v>
      </c>
      <c r="N247" s="224">
        <v>0</v>
      </c>
      <c r="O247" s="1619">
        <f t="shared" si="16"/>
        <v>1000</v>
      </c>
      <c r="P247" s="1364">
        <v>8700</v>
      </c>
      <c r="Q247" s="1364">
        <v>0</v>
      </c>
      <c r="R247" s="1567">
        <v>0</v>
      </c>
      <c r="S247" s="2199">
        <v>0</v>
      </c>
      <c r="T247" s="1568">
        <v>0</v>
      </c>
      <c r="U247" s="1567">
        <v>0</v>
      </c>
      <c r="V247" s="1590">
        <v>0</v>
      </c>
      <c r="W247" s="1590">
        <v>0</v>
      </c>
      <c r="X247" s="2199">
        <v>0</v>
      </c>
      <c r="Y247" s="1593">
        <v>0</v>
      </c>
      <c r="Z247" s="2200" t="s">
        <v>72</v>
      </c>
      <c r="AA247" s="1661" t="s">
        <v>8</v>
      </c>
      <c r="AB247" s="21" t="s">
        <v>1236</v>
      </c>
      <c r="AC247" s="15" t="s">
        <v>79</v>
      </c>
      <c r="AD247" s="85">
        <v>3</v>
      </c>
      <c r="AE247" s="1661" t="s">
        <v>174</v>
      </c>
      <c r="AF247" s="1661" t="s">
        <v>646</v>
      </c>
    </row>
    <row r="248" spans="1:32" ht="39.6" outlineLevel="1" x14ac:dyDescent="0.25">
      <c r="A248" s="446" t="s">
        <v>714</v>
      </c>
      <c r="B248" s="792" t="s">
        <v>804</v>
      </c>
      <c r="C248" s="687" t="s">
        <v>1265</v>
      </c>
      <c r="D248" s="40" t="s">
        <v>1032</v>
      </c>
      <c r="E248" s="52" t="s">
        <v>21</v>
      </c>
      <c r="F248" s="40" t="s">
        <v>21</v>
      </c>
      <c r="G248" s="617">
        <v>8000</v>
      </c>
      <c r="H248" s="161">
        <v>0</v>
      </c>
      <c r="I248" s="453">
        <v>0</v>
      </c>
      <c r="J248" s="786">
        <v>0</v>
      </c>
      <c r="K248" s="454">
        <v>0</v>
      </c>
      <c r="L248" s="647">
        <f t="shared" si="18"/>
        <v>0</v>
      </c>
      <c r="M248" s="688">
        <v>1000</v>
      </c>
      <c r="N248" s="808">
        <v>-1000</v>
      </c>
      <c r="O248" s="622">
        <f t="shared" si="16"/>
        <v>0</v>
      </c>
      <c r="P248" s="688">
        <v>8000</v>
      </c>
      <c r="Q248" s="689">
        <v>0</v>
      </c>
      <c r="R248" s="619">
        <v>0</v>
      </c>
      <c r="S248" s="744">
        <v>0</v>
      </c>
      <c r="T248" s="689">
        <v>0</v>
      </c>
      <c r="U248" s="619">
        <v>0</v>
      </c>
      <c r="V248" s="690">
        <v>0</v>
      </c>
      <c r="W248" s="690">
        <v>0</v>
      </c>
      <c r="X248" s="744">
        <v>0</v>
      </c>
      <c r="Y248" s="689">
        <v>0</v>
      </c>
      <c r="Z248" s="169" t="s">
        <v>1419</v>
      </c>
      <c r="AA248" s="40" t="s">
        <v>8</v>
      </c>
      <c r="AB248" s="113" t="s">
        <v>1236</v>
      </c>
      <c r="AC248" s="114" t="s">
        <v>79</v>
      </c>
      <c r="AD248" s="162" t="s">
        <v>88</v>
      </c>
      <c r="AE248" s="40" t="s">
        <v>171</v>
      </c>
      <c r="AF248" s="40" t="s">
        <v>715</v>
      </c>
    </row>
    <row r="249" spans="1:32" ht="40.200000000000003" outlineLevel="1" thickBot="1" x14ac:dyDescent="0.3">
      <c r="A249" s="552" t="s">
        <v>716</v>
      </c>
      <c r="B249" s="609" t="s">
        <v>805</v>
      </c>
      <c r="C249" s="815" t="s">
        <v>1266</v>
      </c>
      <c r="D249" s="56" t="s">
        <v>1032</v>
      </c>
      <c r="E249" s="69" t="s">
        <v>717</v>
      </c>
      <c r="F249" s="56" t="s">
        <v>717</v>
      </c>
      <c r="G249" s="664">
        <v>13000</v>
      </c>
      <c r="H249" s="816">
        <v>0</v>
      </c>
      <c r="I249" s="670">
        <v>0</v>
      </c>
      <c r="J249" s="790">
        <v>0</v>
      </c>
      <c r="K249" s="668">
        <v>0</v>
      </c>
      <c r="L249" s="669">
        <f t="shared" si="18"/>
        <v>400</v>
      </c>
      <c r="M249" s="714">
        <v>300</v>
      </c>
      <c r="N249" s="111">
        <v>100</v>
      </c>
      <c r="O249" s="559">
        <f t="shared" si="16"/>
        <v>400</v>
      </c>
      <c r="P249" s="714">
        <v>10100</v>
      </c>
      <c r="Q249" s="715">
        <v>0</v>
      </c>
      <c r="R249" s="666">
        <v>0</v>
      </c>
      <c r="S249" s="753">
        <v>0</v>
      </c>
      <c r="T249" s="715">
        <v>2500</v>
      </c>
      <c r="U249" s="666">
        <v>0</v>
      </c>
      <c r="V249" s="716">
        <v>0</v>
      </c>
      <c r="W249" s="716">
        <v>0</v>
      </c>
      <c r="X249" s="753">
        <v>0</v>
      </c>
      <c r="Y249" s="715">
        <v>0</v>
      </c>
      <c r="Z249" s="170" t="s">
        <v>1768</v>
      </c>
      <c r="AA249" s="56" t="s">
        <v>8</v>
      </c>
      <c r="AB249" s="764" t="s">
        <v>1236</v>
      </c>
      <c r="AC249" s="112" t="s">
        <v>79</v>
      </c>
      <c r="AD249" s="145" t="s">
        <v>88</v>
      </c>
      <c r="AE249" s="56" t="s">
        <v>181</v>
      </c>
      <c r="AF249" s="56" t="s">
        <v>715</v>
      </c>
    </row>
    <row r="250" spans="1:32" ht="26.4" outlineLevel="1" x14ac:dyDescent="0.25">
      <c r="A250" s="225" t="s">
        <v>806</v>
      </c>
      <c r="B250" s="228" t="s">
        <v>1252</v>
      </c>
      <c r="C250" s="1641" t="s">
        <v>877</v>
      </c>
      <c r="D250" s="1642" t="s">
        <v>1007</v>
      </c>
      <c r="E250" s="1643" t="s">
        <v>807</v>
      </c>
      <c r="F250" s="1642" t="s">
        <v>807</v>
      </c>
      <c r="G250" s="1801">
        <v>2000</v>
      </c>
      <c r="H250" s="1342">
        <v>58.08</v>
      </c>
      <c r="I250" s="1237">
        <v>0</v>
      </c>
      <c r="J250" s="1360">
        <v>0</v>
      </c>
      <c r="K250" s="1184">
        <v>0</v>
      </c>
      <c r="L250" s="1185">
        <f t="shared" si="18"/>
        <v>1941.92</v>
      </c>
      <c r="M250" s="1361">
        <v>1941.92</v>
      </c>
      <c r="N250" s="233">
        <v>0</v>
      </c>
      <c r="O250" s="1617">
        <f t="shared" si="16"/>
        <v>1941.92</v>
      </c>
      <c r="P250" s="1361">
        <v>0</v>
      </c>
      <c r="Q250" s="1609">
        <v>0</v>
      </c>
      <c r="R250" s="1543">
        <v>0</v>
      </c>
      <c r="S250" s="2198">
        <v>0</v>
      </c>
      <c r="T250" s="1609">
        <v>0</v>
      </c>
      <c r="U250" s="1543">
        <v>0</v>
      </c>
      <c r="V250" s="1576">
        <v>0</v>
      </c>
      <c r="W250" s="1576">
        <v>0</v>
      </c>
      <c r="X250" s="2198">
        <v>0</v>
      </c>
      <c r="Y250" s="1609">
        <v>0</v>
      </c>
      <c r="Z250" s="2017" t="s">
        <v>72</v>
      </c>
      <c r="AA250" s="1642" t="s">
        <v>10</v>
      </c>
      <c r="AB250" s="2043" t="s">
        <v>1236</v>
      </c>
      <c r="AC250" s="2043" t="s">
        <v>80</v>
      </c>
      <c r="AD250" s="2017">
        <v>1</v>
      </c>
      <c r="AE250" s="1642" t="s">
        <v>808</v>
      </c>
      <c r="AF250" s="1642" t="s">
        <v>715</v>
      </c>
    </row>
    <row r="251" spans="1:32" ht="26.4" outlineLevel="1" x14ac:dyDescent="0.25">
      <c r="A251" s="457" t="s">
        <v>809</v>
      </c>
      <c r="B251" s="785" t="s">
        <v>947</v>
      </c>
      <c r="C251" s="684" t="s">
        <v>878</v>
      </c>
      <c r="D251" s="41" t="s">
        <v>1007</v>
      </c>
      <c r="E251" s="32" t="s">
        <v>810</v>
      </c>
      <c r="F251" s="41" t="s">
        <v>810</v>
      </c>
      <c r="G251" s="650">
        <v>16500</v>
      </c>
      <c r="H251" s="161">
        <v>0</v>
      </c>
      <c r="I251" s="463">
        <v>0</v>
      </c>
      <c r="J251" s="796">
        <v>0</v>
      </c>
      <c r="K251" s="464">
        <v>0</v>
      </c>
      <c r="L251" s="654">
        <f t="shared" si="18"/>
        <v>500</v>
      </c>
      <c r="M251" s="101">
        <v>300</v>
      </c>
      <c r="N251" s="808">
        <v>200</v>
      </c>
      <c r="O251" s="462">
        <f t="shared" si="16"/>
        <v>500</v>
      </c>
      <c r="P251" s="101">
        <v>16000</v>
      </c>
      <c r="Q251" s="100">
        <v>0</v>
      </c>
      <c r="R251" s="652">
        <v>0</v>
      </c>
      <c r="S251" s="190">
        <v>0</v>
      </c>
      <c r="T251" s="100">
        <v>0</v>
      </c>
      <c r="U251" s="652">
        <v>0</v>
      </c>
      <c r="V251" s="677">
        <v>0</v>
      </c>
      <c r="W251" s="677">
        <v>0</v>
      </c>
      <c r="X251" s="190">
        <v>0</v>
      </c>
      <c r="Y251" s="100">
        <v>0</v>
      </c>
      <c r="Z251" s="169" t="s">
        <v>1769</v>
      </c>
      <c r="AA251" s="41" t="s">
        <v>8</v>
      </c>
      <c r="AB251" s="466" t="s">
        <v>1236</v>
      </c>
      <c r="AC251" s="466" t="s">
        <v>79</v>
      </c>
      <c r="AD251" s="169">
        <v>3</v>
      </c>
      <c r="AE251" s="41" t="s">
        <v>180</v>
      </c>
      <c r="AF251" s="41" t="s">
        <v>715</v>
      </c>
    </row>
    <row r="252" spans="1:32" ht="31.2" outlineLevel="1" x14ac:dyDescent="0.25">
      <c r="A252" s="222" t="s">
        <v>811</v>
      </c>
      <c r="B252" s="437" t="s">
        <v>1145</v>
      </c>
      <c r="C252" s="1628" t="s">
        <v>879</v>
      </c>
      <c r="D252" s="1629" t="s">
        <v>1007</v>
      </c>
      <c r="E252" s="1645" t="s">
        <v>812</v>
      </c>
      <c r="F252" s="1629" t="s">
        <v>812</v>
      </c>
      <c r="G252" s="1790">
        <v>1500</v>
      </c>
      <c r="H252" s="1359">
        <v>0</v>
      </c>
      <c r="I252" s="1239">
        <v>0</v>
      </c>
      <c r="J252" s="1340">
        <v>0</v>
      </c>
      <c r="K252" s="1189">
        <v>0</v>
      </c>
      <c r="L252" s="1195">
        <f t="shared" si="18"/>
        <v>1500</v>
      </c>
      <c r="M252" s="1341">
        <v>1500</v>
      </c>
      <c r="N252" s="233">
        <v>0</v>
      </c>
      <c r="O252" s="1615">
        <f t="shared" si="16"/>
        <v>1500</v>
      </c>
      <c r="P252" s="1341">
        <v>0</v>
      </c>
      <c r="Q252" s="1606">
        <v>0</v>
      </c>
      <c r="R252" s="1572">
        <v>0</v>
      </c>
      <c r="S252" s="2177">
        <v>0</v>
      </c>
      <c r="T252" s="1606">
        <v>0</v>
      </c>
      <c r="U252" s="1572">
        <v>0</v>
      </c>
      <c r="V252" s="1574">
        <v>0</v>
      </c>
      <c r="W252" s="1574">
        <v>0</v>
      </c>
      <c r="X252" s="2177">
        <v>0</v>
      </c>
      <c r="Y252" s="1606">
        <v>0</v>
      </c>
      <c r="Z252" s="1985" t="s">
        <v>72</v>
      </c>
      <c r="AA252" s="1808" t="s">
        <v>10</v>
      </c>
      <c r="AB252" s="1987" t="s">
        <v>1236</v>
      </c>
      <c r="AC252" s="1987" t="s">
        <v>80</v>
      </c>
      <c r="AD252" s="1985">
        <v>1</v>
      </c>
      <c r="AE252" s="1631" t="s">
        <v>930</v>
      </c>
      <c r="AF252" s="1629" t="s">
        <v>715</v>
      </c>
    </row>
    <row r="253" spans="1:32" ht="26.4" outlineLevel="1" x14ac:dyDescent="0.25">
      <c r="A253" s="241" t="s">
        <v>813</v>
      </c>
      <c r="B253" s="1797" t="s">
        <v>1253</v>
      </c>
      <c r="C253" s="1798" t="s">
        <v>880</v>
      </c>
      <c r="D253" s="1803" t="s">
        <v>1007</v>
      </c>
      <c r="E253" s="1804" t="s">
        <v>1146</v>
      </c>
      <c r="F253" s="1803" t="s">
        <v>1146</v>
      </c>
      <c r="G253" s="1805">
        <f>6000-264.6</f>
        <v>5735.4</v>
      </c>
      <c r="H253" s="1365">
        <v>0</v>
      </c>
      <c r="I253" s="1294">
        <v>0</v>
      </c>
      <c r="J253" s="1355">
        <v>5735.4</v>
      </c>
      <c r="K253" s="1356">
        <v>0</v>
      </c>
      <c r="L253" s="1357">
        <f t="shared" si="18"/>
        <v>5735.4</v>
      </c>
      <c r="M253" s="1358">
        <v>6000</v>
      </c>
      <c r="N253" s="391">
        <v>-264.60000000000002</v>
      </c>
      <c r="O253" s="1816">
        <f t="shared" si="16"/>
        <v>5735.4</v>
      </c>
      <c r="P253" s="1358">
        <v>0</v>
      </c>
      <c r="Q253" s="1598">
        <v>0</v>
      </c>
      <c r="R253" s="1578">
        <v>0</v>
      </c>
      <c r="S253" s="2192">
        <v>0</v>
      </c>
      <c r="T253" s="1598">
        <v>0</v>
      </c>
      <c r="U253" s="1578">
        <v>0</v>
      </c>
      <c r="V253" s="1580">
        <v>0</v>
      </c>
      <c r="W253" s="1580">
        <v>0</v>
      </c>
      <c r="X253" s="2192">
        <v>0</v>
      </c>
      <c r="Y253" s="1598">
        <v>0</v>
      </c>
      <c r="Z253" s="2010" t="s">
        <v>1770</v>
      </c>
      <c r="AA253" s="1803" t="s">
        <v>83</v>
      </c>
      <c r="AB253" s="2077" t="s">
        <v>533</v>
      </c>
      <c r="AC253" s="2201" t="s">
        <v>80</v>
      </c>
      <c r="AD253" s="2010">
        <v>1</v>
      </c>
      <c r="AE253" s="1803" t="s">
        <v>560</v>
      </c>
      <c r="AF253" s="1803" t="s">
        <v>646</v>
      </c>
    </row>
    <row r="254" spans="1:32" ht="31.2" outlineLevel="1" x14ac:dyDescent="0.25">
      <c r="A254" s="243" t="s">
        <v>814</v>
      </c>
      <c r="B254" s="1806" t="s">
        <v>1254</v>
      </c>
      <c r="C254" s="1807" t="s">
        <v>815</v>
      </c>
      <c r="D254" s="1808" t="s">
        <v>1007</v>
      </c>
      <c r="E254" s="1809" t="s">
        <v>816</v>
      </c>
      <c r="F254" s="1808" t="s">
        <v>816</v>
      </c>
      <c r="G254" s="1810">
        <v>15000</v>
      </c>
      <c r="H254" s="1366">
        <v>0</v>
      </c>
      <c r="I254" s="1367">
        <v>0</v>
      </c>
      <c r="J254" s="1368">
        <v>0</v>
      </c>
      <c r="K254" s="1369">
        <v>0</v>
      </c>
      <c r="L254" s="1370">
        <f t="shared" si="18"/>
        <v>0</v>
      </c>
      <c r="M254" s="1371">
        <v>0</v>
      </c>
      <c r="N254" s="233">
        <v>0</v>
      </c>
      <c r="O254" s="2202">
        <f t="shared" si="16"/>
        <v>0</v>
      </c>
      <c r="P254" s="1371">
        <v>1000</v>
      </c>
      <c r="Q254" s="2203">
        <v>14000</v>
      </c>
      <c r="R254" s="2204">
        <v>0</v>
      </c>
      <c r="S254" s="2205">
        <v>0</v>
      </c>
      <c r="T254" s="2203">
        <v>0</v>
      </c>
      <c r="U254" s="2204">
        <v>0</v>
      </c>
      <c r="V254" s="2206">
        <v>0</v>
      </c>
      <c r="W254" s="2206">
        <v>0</v>
      </c>
      <c r="X254" s="2205">
        <v>0</v>
      </c>
      <c r="Y254" s="2203">
        <v>0</v>
      </c>
      <c r="Z254" s="2207" t="s">
        <v>72</v>
      </c>
      <c r="AA254" s="1808" t="s">
        <v>8</v>
      </c>
      <c r="AB254" s="1986" t="s">
        <v>1076</v>
      </c>
      <c r="AC254" s="2208" t="s">
        <v>79</v>
      </c>
      <c r="AD254" s="2207" t="s">
        <v>91</v>
      </c>
      <c r="AE254" s="1808" t="s">
        <v>172</v>
      </c>
      <c r="AF254" s="1808" t="s">
        <v>646</v>
      </c>
    </row>
    <row r="255" spans="1:32" ht="26.4" outlineLevel="1" x14ac:dyDescent="0.25">
      <c r="A255" s="457" t="s">
        <v>817</v>
      </c>
      <c r="B255" s="785" t="s">
        <v>948</v>
      </c>
      <c r="C255" s="684" t="s">
        <v>818</v>
      </c>
      <c r="D255" s="119" t="s">
        <v>1007</v>
      </c>
      <c r="E255" s="32" t="s">
        <v>21</v>
      </c>
      <c r="F255" s="41" t="s">
        <v>21</v>
      </c>
      <c r="G255" s="650">
        <v>4000</v>
      </c>
      <c r="H255" s="795">
        <v>0</v>
      </c>
      <c r="I255" s="463">
        <v>0</v>
      </c>
      <c r="J255" s="796">
        <v>0</v>
      </c>
      <c r="K255" s="464">
        <v>0</v>
      </c>
      <c r="L255" s="654">
        <f t="shared" si="18"/>
        <v>700</v>
      </c>
      <c r="M255" s="101">
        <v>500</v>
      </c>
      <c r="N255" s="808">
        <v>200</v>
      </c>
      <c r="O255" s="462">
        <f t="shared" si="16"/>
        <v>700</v>
      </c>
      <c r="P255" s="101">
        <v>3300</v>
      </c>
      <c r="Q255" s="100">
        <v>0</v>
      </c>
      <c r="R255" s="677">
        <v>0</v>
      </c>
      <c r="S255" s="190">
        <v>0</v>
      </c>
      <c r="T255" s="680">
        <v>0</v>
      </c>
      <c r="U255" s="652">
        <v>0</v>
      </c>
      <c r="V255" s="677">
        <v>0</v>
      </c>
      <c r="W255" s="677">
        <v>0</v>
      </c>
      <c r="X255" s="190">
        <v>0</v>
      </c>
      <c r="Y255" s="100">
        <v>0</v>
      </c>
      <c r="Z255" s="413" t="s">
        <v>1769</v>
      </c>
      <c r="AA255" s="41" t="s">
        <v>10</v>
      </c>
      <c r="AB255" s="456" t="s">
        <v>1236</v>
      </c>
      <c r="AC255" s="466" t="s">
        <v>80</v>
      </c>
      <c r="AD255" s="169">
        <v>1</v>
      </c>
      <c r="AE255" s="41" t="s">
        <v>171</v>
      </c>
      <c r="AF255" s="41" t="s">
        <v>646</v>
      </c>
    </row>
    <row r="256" spans="1:32" ht="31.2" outlineLevel="1" x14ac:dyDescent="0.25">
      <c r="A256" s="457" t="s">
        <v>819</v>
      </c>
      <c r="B256" s="785" t="s">
        <v>949</v>
      </c>
      <c r="C256" s="684" t="s">
        <v>820</v>
      </c>
      <c r="D256" s="119" t="s">
        <v>1007</v>
      </c>
      <c r="E256" s="32" t="s">
        <v>20</v>
      </c>
      <c r="F256" s="41" t="s">
        <v>20</v>
      </c>
      <c r="G256" s="650">
        <v>16100</v>
      </c>
      <c r="H256" s="795">
        <v>287.39999999999998</v>
      </c>
      <c r="I256" s="463">
        <v>0</v>
      </c>
      <c r="J256" s="796">
        <v>0</v>
      </c>
      <c r="K256" s="464">
        <v>0</v>
      </c>
      <c r="L256" s="654">
        <f t="shared" ref="L256:L287" si="19">O256-K256</f>
        <v>2812.6000000000004</v>
      </c>
      <c r="M256" s="101">
        <v>5812.6</v>
      </c>
      <c r="N256" s="808">
        <v>-3000</v>
      </c>
      <c r="O256" s="462">
        <f t="shared" si="16"/>
        <v>2812.6000000000004</v>
      </c>
      <c r="P256" s="101">
        <v>13000</v>
      </c>
      <c r="Q256" s="100">
        <v>0</v>
      </c>
      <c r="R256" s="677">
        <v>0</v>
      </c>
      <c r="S256" s="190">
        <v>0</v>
      </c>
      <c r="T256" s="680">
        <v>0</v>
      </c>
      <c r="U256" s="652">
        <v>0</v>
      </c>
      <c r="V256" s="677">
        <v>0</v>
      </c>
      <c r="W256" s="677">
        <v>0</v>
      </c>
      <c r="X256" s="190">
        <v>0</v>
      </c>
      <c r="Y256" s="100">
        <v>0</v>
      </c>
      <c r="Z256" s="169" t="s">
        <v>1419</v>
      </c>
      <c r="AA256" s="41" t="s">
        <v>6</v>
      </c>
      <c r="AB256" s="456" t="s">
        <v>1236</v>
      </c>
      <c r="AC256" s="466" t="s">
        <v>79</v>
      </c>
      <c r="AD256" s="169" t="s">
        <v>88</v>
      </c>
      <c r="AE256" s="41" t="s">
        <v>166</v>
      </c>
      <c r="AF256" s="41" t="s">
        <v>646</v>
      </c>
    </row>
    <row r="257" spans="1:32" ht="26.4" outlineLevel="1" x14ac:dyDescent="0.25">
      <c r="A257" s="222" t="s">
        <v>821</v>
      </c>
      <c r="B257" s="437" t="s">
        <v>950</v>
      </c>
      <c r="C257" s="1628" t="s">
        <v>822</v>
      </c>
      <c r="D257" s="1808" t="s">
        <v>1007</v>
      </c>
      <c r="E257" s="1645" t="s">
        <v>393</v>
      </c>
      <c r="F257" s="1629" t="s">
        <v>393</v>
      </c>
      <c r="G257" s="1790">
        <v>18200</v>
      </c>
      <c r="H257" s="1359">
        <v>0</v>
      </c>
      <c r="I257" s="1239">
        <v>105.27</v>
      </c>
      <c r="J257" s="1340">
        <v>0</v>
      </c>
      <c r="K257" s="1189">
        <v>105.27</v>
      </c>
      <c r="L257" s="1195">
        <f t="shared" si="19"/>
        <v>394.73</v>
      </c>
      <c r="M257" s="1341">
        <v>500</v>
      </c>
      <c r="N257" s="233">
        <v>0</v>
      </c>
      <c r="O257" s="1615">
        <f t="shared" si="16"/>
        <v>500</v>
      </c>
      <c r="P257" s="1341">
        <v>17700</v>
      </c>
      <c r="Q257" s="1606">
        <v>0</v>
      </c>
      <c r="R257" s="1574">
        <v>0</v>
      </c>
      <c r="S257" s="2177">
        <v>0</v>
      </c>
      <c r="T257" s="1607">
        <v>0</v>
      </c>
      <c r="U257" s="1572">
        <v>0</v>
      </c>
      <c r="V257" s="1574">
        <v>0</v>
      </c>
      <c r="W257" s="1574">
        <v>0</v>
      </c>
      <c r="X257" s="2177">
        <v>0</v>
      </c>
      <c r="Y257" s="1606">
        <v>0</v>
      </c>
      <c r="Z257" s="1629" t="s">
        <v>72</v>
      </c>
      <c r="AA257" s="1629" t="s">
        <v>8</v>
      </c>
      <c r="AB257" s="2002" t="s">
        <v>1236</v>
      </c>
      <c r="AC257" s="1987" t="s">
        <v>79</v>
      </c>
      <c r="AD257" s="1985" t="s">
        <v>88</v>
      </c>
      <c r="AE257" s="1629" t="s">
        <v>181</v>
      </c>
      <c r="AF257" s="1629" t="s">
        <v>646</v>
      </c>
    </row>
    <row r="258" spans="1:32" ht="31.2" outlineLevel="1" x14ac:dyDescent="0.25">
      <c r="A258" s="241" t="s">
        <v>823</v>
      </c>
      <c r="B258" s="1811" t="s">
        <v>951</v>
      </c>
      <c r="C258" s="1798" t="s">
        <v>824</v>
      </c>
      <c r="D258" s="1812" t="s">
        <v>1007</v>
      </c>
      <c r="E258" s="1804" t="s">
        <v>516</v>
      </c>
      <c r="F258" s="1803" t="s">
        <v>516</v>
      </c>
      <c r="G258" s="1805">
        <f>3100-304.9</f>
        <v>2795.1</v>
      </c>
      <c r="H258" s="1365">
        <v>0</v>
      </c>
      <c r="I258" s="1294">
        <v>0</v>
      </c>
      <c r="J258" s="1355">
        <v>2795.1</v>
      </c>
      <c r="K258" s="1356">
        <v>0</v>
      </c>
      <c r="L258" s="1357">
        <f t="shared" si="19"/>
        <v>2795.1</v>
      </c>
      <c r="M258" s="1372">
        <v>3100</v>
      </c>
      <c r="N258" s="391">
        <v>-304.89999999999998</v>
      </c>
      <c r="O258" s="1816">
        <f t="shared" si="16"/>
        <v>2795.1</v>
      </c>
      <c r="P258" s="1358">
        <v>0</v>
      </c>
      <c r="Q258" s="1598">
        <v>0</v>
      </c>
      <c r="R258" s="1580">
        <v>0</v>
      </c>
      <c r="S258" s="2192">
        <v>0</v>
      </c>
      <c r="T258" s="1599">
        <v>0</v>
      </c>
      <c r="U258" s="1578">
        <v>0</v>
      </c>
      <c r="V258" s="1580">
        <v>0</v>
      </c>
      <c r="W258" s="1580">
        <v>0</v>
      </c>
      <c r="X258" s="2192">
        <v>0</v>
      </c>
      <c r="Y258" s="1598">
        <v>0</v>
      </c>
      <c r="Z258" s="2010" t="s">
        <v>1771</v>
      </c>
      <c r="AA258" s="1707" t="s">
        <v>83</v>
      </c>
      <c r="AB258" s="2077" t="s">
        <v>533</v>
      </c>
      <c r="AC258" s="2201" t="s">
        <v>80</v>
      </c>
      <c r="AD258" s="2010">
        <v>1</v>
      </c>
      <c r="AE258" s="1803" t="s">
        <v>166</v>
      </c>
      <c r="AF258" s="1803" t="s">
        <v>646</v>
      </c>
    </row>
    <row r="259" spans="1:32" ht="26.4" outlineLevel="1" x14ac:dyDescent="0.25">
      <c r="A259" s="241" t="s">
        <v>825</v>
      </c>
      <c r="B259" s="1811" t="s">
        <v>1255</v>
      </c>
      <c r="C259" s="1798" t="s">
        <v>1267</v>
      </c>
      <c r="D259" s="1803" t="s">
        <v>1417</v>
      </c>
      <c r="E259" s="1804" t="s">
        <v>826</v>
      </c>
      <c r="F259" s="1803" t="s">
        <v>826</v>
      </c>
      <c r="G259" s="1805">
        <v>1880.34</v>
      </c>
      <c r="H259" s="1365">
        <v>0</v>
      </c>
      <c r="I259" s="1294">
        <v>0</v>
      </c>
      <c r="J259" s="1355">
        <v>1880.34</v>
      </c>
      <c r="K259" s="1356">
        <v>0</v>
      </c>
      <c r="L259" s="1357">
        <f t="shared" si="19"/>
        <v>1880.34</v>
      </c>
      <c r="M259" s="1358">
        <v>2000</v>
      </c>
      <c r="N259" s="817">
        <v>-119.66</v>
      </c>
      <c r="O259" s="1816">
        <f t="shared" si="16"/>
        <v>1880.34</v>
      </c>
      <c r="P259" s="1358">
        <v>0</v>
      </c>
      <c r="Q259" s="1598">
        <v>0</v>
      </c>
      <c r="R259" s="1580">
        <v>0</v>
      </c>
      <c r="S259" s="2192">
        <v>0</v>
      </c>
      <c r="T259" s="1599">
        <v>0</v>
      </c>
      <c r="U259" s="1578">
        <v>0</v>
      </c>
      <c r="V259" s="1580">
        <v>0</v>
      </c>
      <c r="W259" s="1580">
        <v>0</v>
      </c>
      <c r="X259" s="2192">
        <v>0</v>
      </c>
      <c r="Y259" s="1598">
        <v>0</v>
      </c>
      <c r="Z259" s="2010" t="s">
        <v>1772</v>
      </c>
      <c r="AA259" s="2195" t="s">
        <v>83</v>
      </c>
      <c r="AB259" s="2201" t="s">
        <v>533</v>
      </c>
      <c r="AC259" s="2201" t="s">
        <v>80</v>
      </c>
      <c r="AD259" s="2010">
        <v>1</v>
      </c>
      <c r="AE259" s="1803" t="s">
        <v>172</v>
      </c>
      <c r="AF259" s="1803" t="s">
        <v>646</v>
      </c>
    </row>
    <row r="260" spans="1:32" ht="26.4" outlineLevel="1" x14ac:dyDescent="0.25">
      <c r="A260" s="14" t="s">
        <v>827</v>
      </c>
      <c r="B260" s="223" t="s">
        <v>1256</v>
      </c>
      <c r="C260" s="1813" t="s">
        <v>828</v>
      </c>
      <c r="D260" s="1814" t="s">
        <v>1007</v>
      </c>
      <c r="E260" s="1722" t="s">
        <v>829</v>
      </c>
      <c r="F260" s="1687" t="s">
        <v>829</v>
      </c>
      <c r="G260" s="1815">
        <f>1000-97.05823</f>
        <v>902.94177000000002</v>
      </c>
      <c r="H260" s="1373">
        <v>0</v>
      </c>
      <c r="I260" s="1243">
        <v>902.94177000000002</v>
      </c>
      <c r="J260" s="1374">
        <v>0</v>
      </c>
      <c r="K260" s="1375">
        <v>902.94177000000002</v>
      </c>
      <c r="L260" s="1244">
        <f t="shared" si="19"/>
        <v>0</v>
      </c>
      <c r="M260" s="1376">
        <v>902.94177000000002</v>
      </c>
      <c r="N260" s="233">
        <v>0</v>
      </c>
      <c r="O260" s="2047">
        <f t="shared" si="16"/>
        <v>902.94177000000002</v>
      </c>
      <c r="P260" s="1376">
        <v>0</v>
      </c>
      <c r="Q260" s="1591">
        <v>0</v>
      </c>
      <c r="R260" s="1592">
        <v>0</v>
      </c>
      <c r="S260" s="2209">
        <v>0</v>
      </c>
      <c r="T260" s="1605">
        <v>0</v>
      </c>
      <c r="U260" s="1558">
        <v>0</v>
      </c>
      <c r="V260" s="1592">
        <v>0</v>
      </c>
      <c r="W260" s="1592">
        <v>0</v>
      </c>
      <c r="X260" s="2209">
        <v>0</v>
      </c>
      <c r="Y260" s="1591">
        <v>0</v>
      </c>
      <c r="Z260" s="2210" t="s">
        <v>72</v>
      </c>
      <c r="AA260" s="1687" t="s">
        <v>83</v>
      </c>
      <c r="AB260" s="2051" t="s">
        <v>155</v>
      </c>
      <c r="AC260" s="2051" t="s">
        <v>80</v>
      </c>
      <c r="AD260" s="2211" t="s">
        <v>89</v>
      </c>
      <c r="AE260" s="1687" t="s">
        <v>173</v>
      </c>
      <c r="AF260" s="1687" t="s">
        <v>646</v>
      </c>
    </row>
    <row r="261" spans="1:32" ht="26.4" outlineLevel="1" x14ac:dyDescent="0.25">
      <c r="A261" s="222" t="s">
        <v>830</v>
      </c>
      <c r="B261" s="437" t="s">
        <v>1257</v>
      </c>
      <c r="C261" s="1628" t="s">
        <v>831</v>
      </c>
      <c r="D261" s="1808" t="s">
        <v>1007</v>
      </c>
      <c r="E261" s="1645" t="s">
        <v>832</v>
      </c>
      <c r="F261" s="1629" t="s">
        <v>832</v>
      </c>
      <c r="G261" s="1790">
        <v>2420</v>
      </c>
      <c r="H261" s="1359">
        <v>0</v>
      </c>
      <c r="I261" s="1239">
        <v>0</v>
      </c>
      <c r="J261" s="1340">
        <v>0</v>
      </c>
      <c r="K261" s="1189">
        <v>0</v>
      </c>
      <c r="L261" s="1195">
        <f t="shared" si="19"/>
        <v>2420</v>
      </c>
      <c r="M261" s="1361">
        <v>2420</v>
      </c>
      <c r="N261" s="233">
        <v>0</v>
      </c>
      <c r="O261" s="1615">
        <f t="shared" si="16"/>
        <v>2420</v>
      </c>
      <c r="P261" s="1341">
        <v>0</v>
      </c>
      <c r="Q261" s="1606">
        <v>0</v>
      </c>
      <c r="R261" s="1574">
        <v>0</v>
      </c>
      <c r="S261" s="2177">
        <v>0</v>
      </c>
      <c r="T261" s="1607">
        <v>0</v>
      </c>
      <c r="U261" s="1572">
        <v>0</v>
      </c>
      <c r="V261" s="1574">
        <v>0</v>
      </c>
      <c r="W261" s="1574">
        <v>0</v>
      </c>
      <c r="X261" s="2177">
        <v>0</v>
      </c>
      <c r="Y261" s="1606">
        <v>0</v>
      </c>
      <c r="Z261" s="1985" t="s">
        <v>72</v>
      </c>
      <c r="AA261" s="1629" t="s">
        <v>6</v>
      </c>
      <c r="AB261" s="1987" t="s">
        <v>1236</v>
      </c>
      <c r="AC261" s="1987" t="s">
        <v>79</v>
      </c>
      <c r="AD261" s="1985">
        <v>3</v>
      </c>
      <c r="AE261" s="1629" t="s">
        <v>560</v>
      </c>
      <c r="AF261" s="1629" t="s">
        <v>646</v>
      </c>
    </row>
    <row r="262" spans="1:32" ht="26.4" outlineLevel="1" x14ac:dyDescent="0.25">
      <c r="A262" s="222" t="s">
        <v>833</v>
      </c>
      <c r="B262" s="437" t="s">
        <v>1258</v>
      </c>
      <c r="C262" s="1628" t="s">
        <v>834</v>
      </c>
      <c r="D262" s="1808" t="s">
        <v>1007</v>
      </c>
      <c r="E262" s="1645" t="s">
        <v>832</v>
      </c>
      <c r="F262" s="1629" t="s">
        <v>832</v>
      </c>
      <c r="G262" s="1790">
        <v>2420</v>
      </c>
      <c r="H262" s="1359">
        <v>0</v>
      </c>
      <c r="I262" s="1239">
        <v>0</v>
      </c>
      <c r="J262" s="1340">
        <v>0</v>
      </c>
      <c r="K262" s="1189">
        <v>0</v>
      </c>
      <c r="L262" s="1195">
        <f t="shared" si="19"/>
        <v>2420</v>
      </c>
      <c r="M262" s="1341">
        <v>2420</v>
      </c>
      <c r="N262" s="233">
        <v>0</v>
      </c>
      <c r="O262" s="1615">
        <f t="shared" si="16"/>
        <v>2420</v>
      </c>
      <c r="P262" s="1341">
        <v>0</v>
      </c>
      <c r="Q262" s="1606">
        <v>0</v>
      </c>
      <c r="R262" s="1574">
        <v>0</v>
      </c>
      <c r="S262" s="2177">
        <v>0</v>
      </c>
      <c r="T262" s="1607">
        <v>0</v>
      </c>
      <c r="U262" s="1572">
        <v>0</v>
      </c>
      <c r="V262" s="1574">
        <v>0</v>
      </c>
      <c r="W262" s="1574">
        <v>0</v>
      </c>
      <c r="X262" s="2177">
        <v>0</v>
      </c>
      <c r="Y262" s="1606">
        <v>0</v>
      </c>
      <c r="Z262" s="1985" t="s">
        <v>72</v>
      </c>
      <c r="AA262" s="1629" t="s">
        <v>6</v>
      </c>
      <c r="AB262" s="1987" t="s">
        <v>1236</v>
      </c>
      <c r="AC262" s="1987" t="s">
        <v>79</v>
      </c>
      <c r="AD262" s="1985">
        <v>3</v>
      </c>
      <c r="AE262" s="1629" t="s">
        <v>560</v>
      </c>
      <c r="AF262" s="1629" t="s">
        <v>646</v>
      </c>
    </row>
    <row r="263" spans="1:32" ht="26.4" outlineLevel="1" x14ac:dyDescent="0.25">
      <c r="A263" s="14" t="s">
        <v>835</v>
      </c>
      <c r="B263" s="223" t="s">
        <v>1259</v>
      </c>
      <c r="C263" s="1813" t="s">
        <v>855</v>
      </c>
      <c r="D263" s="1814" t="s">
        <v>1007</v>
      </c>
      <c r="E263" s="1722" t="s">
        <v>832</v>
      </c>
      <c r="F263" s="1722" t="s">
        <v>832</v>
      </c>
      <c r="G263" s="1815">
        <v>1300</v>
      </c>
      <c r="H263" s="1373">
        <v>0</v>
      </c>
      <c r="I263" s="1243">
        <v>0</v>
      </c>
      <c r="J263" s="1374">
        <v>1300</v>
      </c>
      <c r="K263" s="1375">
        <v>0</v>
      </c>
      <c r="L263" s="1244">
        <f t="shared" si="19"/>
        <v>1300</v>
      </c>
      <c r="M263" s="1376">
        <v>1300</v>
      </c>
      <c r="N263" s="233">
        <v>0</v>
      </c>
      <c r="O263" s="2047">
        <f t="shared" si="16"/>
        <v>1300</v>
      </c>
      <c r="P263" s="1376">
        <v>0</v>
      </c>
      <c r="Q263" s="1591">
        <v>0</v>
      </c>
      <c r="R263" s="1592">
        <v>0</v>
      </c>
      <c r="S263" s="2209">
        <v>0</v>
      </c>
      <c r="T263" s="1605">
        <v>0</v>
      </c>
      <c r="U263" s="1558">
        <v>0</v>
      </c>
      <c r="V263" s="1592">
        <v>0</v>
      </c>
      <c r="W263" s="1592">
        <v>0</v>
      </c>
      <c r="X263" s="2209">
        <v>0</v>
      </c>
      <c r="Y263" s="1591">
        <v>0</v>
      </c>
      <c r="Z263" s="2211" t="s">
        <v>72</v>
      </c>
      <c r="AA263" s="1687" t="s">
        <v>83</v>
      </c>
      <c r="AB263" s="2051" t="s">
        <v>533</v>
      </c>
      <c r="AC263" s="2051" t="s">
        <v>79</v>
      </c>
      <c r="AD263" s="2211" t="s">
        <v>90</v>
      </c>
      <c r="AE263" s="1687" t="s">
        <v>560</v>
      </c>
      <c r="AF263" s="1687" t="s">
        <v>646</v>
      </c>
    </row>
    <row r="264" spans="1:32" ht="26.4" outlineLevel="1" x14ac:dyDescent="0.25">
      <c r="A264" s="241" t="s">
        <v>836</v>
      </c>
      <c r="B264" s="1811" t="s">
        <v>952</v>
      </c>
      <c r="C264" s="1798" t="s">
        <v>837</v>
      </c>
      <c r="D264" s="1812" t="s">
        <v>1007</v>
      </c>
      <c r="E264" s="1804" t="s">
        <v>21</v>
      </c>
      <c r="F264" s="1804" t="s">
        <v>21</v>
      </c>
      <c r="G264" s="1805">
        <f>1700-372.938</f>
        <v>1327.0619999999999</v>
      </c>
      <c r="H264" s="1365">
        <v>0</v>
      </c>
      <c r="I264" s="1294">
        <v>0</v>
      </c>
      <c r="J264" s="1355">
        <v>1327.0619999999999</v>
      </c>
      <c r="K264" s="1356">
        <v>0</v>
      </c>
      <c r="L264" s="1357">
        <f t="shared" si="19"/>
        <v>1327.0619999999999</v>
      </c>
      <c r="M264" s="1372">
        <v>1700</v>
      </c>
      <c r="N264" s="391">
        <v>-372.93799999999999</v>
      </c>
      <c r="O264" s="1816">
        <f t="shared" si="16"/>
        <v>1327.0619999999999</v>
      </c>
      <c r="P264" s="1358">
        <v>0</v>
      </c>
      <c r="Q264" s="1598">
        <v>0</v>
      </c>
      <c r="R264" s="1580">
        <v>0</v>
      </c>
      <c r="S264" s="2192">
        <v>0</v>
      </c>
      <c r="T264" s="1599">
        <v>0</v>
      </c>
      <c r="U264" s="1578">
        <v>0</v>
      </c>
      <c r="V264" s="1580">
        <v>0</v>
      </c>
      <c r="W264" s="1580">
        <v>0</v>
      </c>
      <c r="X264" s="2192">
        <v>0</v>
      </c>
      <c r="Y264" s="1598">
        <v>0</v>
      </c>
      <c r="Z264" s="2010" t="s">
        <v>1773</v>
      </c>
      <c r="AA264" s="1803" t="s">
        <v>83</v>
      </c>
      <c r="AB264" s="2077" t="s">
        <v>533</v>
      </c>
      <c r="AC264" s="2201" t="s">
        <v>80</v>
      </c>
      <c r="AD264" s="2010">
        <v>1</v>
      </c>
      <c r="AE264" s="1803" t="s">
        <v>171</v>
      </c>
      <c r="AF264" s="1803" t="s">
        <v>646</v>
      </c>
    </row>
    <row r="265" spans="1:32" ht="31.2" outlineLevel="1" x14ac:dyDescent="0.25">
      <c r="A265" s="14" t="s">
        <v>838</v>
      </c>
      <c r="B265" s="223" t="s">
        <v>953</v>
      </c>
      <c r="C265" s="1813" t="s">
        <v>839</v>
      </c>
      <c r="D265" s="1814" t="s">
        <v>1007</v>
      </c>
      <c r="E265" s="1722" t="s">
        <v>21</v>
      </c>
      <c r="F265" s="1722" t="s">
        <v>21</v>
      </c>
      <c r="G265" s="1815">
        <v>1499.9179999999999</v>
      </c>
      <c r="H265" s="1373">
        <v>0</v>
      </c>
      <c r="I265" s="1243">
        <v>1499.9179999999999</v>
      </c>
      <c r="J265" s="1374">
        <v>0</v>
      </c>
      <c r="K265" s="1375">
        <f>1500-0.082</f>
        <v>1499.9179999999999</v>
      </c>
      <c r="L265" s="1244">
        <f t="shared" si="19"/>
        <v>0</v>
      </c>
      <c r="M265" s="1376">
        <v>1499.9179999999999</v>
      </c>
      <c r="N265" s="233">
        <v>0</v>
      </c>
      <c r="O265" s="2047">
        <f t="shared" si="16"/>
        <v>1499.9179999999999</v>
      </c>
      <c r="P265" s="1376">
        <v>0</v>
      </c>
      <c r="Q265" s="1591">
        <v>0</v>
      </c>
      <c r="R265" s="1592">
        <v>0</v>
      </c>
      <c r="S265" s="2209">
        <v>0</v>
      </c>
      <c r="T265" s="1605">
        <v>0</v>
      </c>
      <c r="U265" s="1558">
        <v>0</v>
      </c>
      <c r="V265" s="1592">
        <v>0</v>
      </c>
      <c r="W265" s="1592">
        <v>0</v>
      </c>
      <c r="X265" s="2209">
        <v>0</v>
      </c>
      <c r="Y265" s="1591">
        <v>0</v>
      </c>
      <c r="Z265" s="2211" t="s">
        <v>72</v>
      </c>
      <c r="AA265" s="1687" t="s">
        <v>83</v>
      </c>
      <c r="AB265" s="2051" t="s">
        <v>1074</v>
      </c>
      <c r="AC265" s="2051" t="s">
        <v>80</v>
      </c>
      <c r="AD265" s="2211" t="s">
        <v>88</v>
      </c>
      <c r="AE265" s="1687" t="s">
        <v>171</v>
      </c>
      <c r="AF265" s="1687" t="s">
        <v>646</v>
      </c>
    </row>
    <row r="266" spans="1:32" ht="27" outlineLevel="1" thickBot="1" x14ac:dyDescent="0.3">
      <c r="A266" s="226" t="s">
        <v>840</v>
      </c>
      <c r="B266" s="1791" t="s">
        <v>954</v>
      </c>
      <c r="C266" s="1660" t="s">
        <v>841</v>
      </c>
      <c r="D266" s="1661" t="s">
        <v>1007</v>
      </c>
      <c r="E266" s="1662" t="s">
        <v>21</v>
      </c>
      <c r="F266" s="1662" t="s">
        <v>21</v>
      </c>
      <c r="G266" s="1802">
        <v>8300</v>
      </c>
      <c r="H266" s="1362">
        <v>0</v>
      </c>
      <c r="I266" s="1273">
        <v>0</v>
      </c>
      <c r="J266" s="1363">
        <v>0</v>
      </c>
      <c r="K266" s="1216">
        <v>0</v>
      </c>
      <c r="L266" s="1217">
        <f t="shared" si="19"/>
        <v>0</v>
      </c>
      <c r="M266" s="1364">
        <v>0</v>
      </c>
      <c r="N266" s="224">
        <v>0</v>
      </c>
      <c r="O266" s="1619">
        <f t="shared" si="16"/>
        <v>0</v>
      </c>
      <c r="P266" s="1364">
        <v>8300</v>
      </c>
      <c r="Q266" s="1593">
        <v>0</v>
      </c>
      <c r="R266" s="1590">
        <v>0</v>
      </c>
      <c r="S266" s="2199">
        <v>0</v>
      </c>
      <c r="T266" s="1600">
        <v>0</v>
      </c>
      <c r="U266" s="1567">
        <v>0</v>
      </c>
      <c r="V266" s="1590">
        <v>0</v>
      </c>
      <c r="W266" s="1590">
        <v>0</v>
      </c>
      <c r="X266" s="2199">
        <v>0</v>
      </c>
      <c r="Y266" s="1593">
        <v>0</v>
      </c>
      <c r="Z266" s="85" t="s">
        <v>72</v>
      </c>
      <c r="AA266" s="1661" t="s">
        <v>8</v>
      </c>
      <c r="AB266" s="2088" t="s">
        <v>1236</v>
      </c>
      <c r="AC266" s="2088" t="s">
        <v>79</v>
      </c>
      <c r="AD266" s="85" t="s">
        <v>88</v>
      </c>
      <c r="AE266" s="1661" t="s">
        <v>171</v>
      </c>
      <c r="AF266" s="1661" t="s">
        <v>646</v>
      </c>
    </row>
    <row r="267" spans="1:32" ht="31.2" outlineLevel="1" x14ac:dyDescent="0.25">
      <c r="A267" s="446" t="s">
        <v>955</v>
      </c>
      <c r="B267" s="792" t="s">
        <v>1212</v>
      </c>
      <c r="C267" s="687" t="s">
        <v>956</v>
      </c>
      <c r="D267" s="40" t="s">
        <v>1056</v>
      </c>
      <c r="E267" s="52" t="s">
        <v>957</v>
      </c>
      <c r="F267" s="52" t="s">
        <v>957</v>
      </c>
      <c r="G267" s="622">
        <v>3000</v>
      </c>
      <c r="H267" s="161">
        <v>0</v>
      </c>
      <c r="I267" s="453">
        <v>0</v>
      </c>
      <c r="J267" s="786">
        <v>0</v>
      </c>
      <c r="K267" s="454">
        <v>0</v>
      </c>
      <c r="L267" s="654">
        <f t="shared" si="19"/>
        <v>100</v>
      </c>
      <c r="M267" s="688">
        <v>3000</v>
      </c>
      <c r="N267" s="808">
        <v>-2900</v>
      </c>
      <c r="O267" s="622">
        <f t="shared" si="16"/>
        <v>100</v>
      </c>
      <c r="P267" s="135">
        <v>2900</v>
      </c>
      <c r="Q267" s="455">
        <v>0</v>
      </c>
      <c r="R267" s="454">
        <v>0</v>
      </c>
      <c r="S267" s="818">
        <v>0</v>
      </c>
      <c r="T267" s="392">
        <v>0</v>
      </c>
      <c r="U267" s="453">
        <v>0</v>
      </c>
      <c r="V267" s="454">
        <v>0</v>
      </c>
      <c r="W267" s="454">
        <v>0</v>
      </c>
      <c r="X267" s="818">
        <v>0</v>
      </c>
      <c r="Y267" s="455">
        <v>0</v>
      </c>
      <c r="Z267" s="162" t="s">
        <v>1774</v>
      </c>
      <c r="AA267" s="40" t="s">
        <v>8</v>
      </c>
      <c r="AB267" s="456" t="s">
        <v>1236</v>
      </c>
      <c r="AC267" s="456" t="s">
        <v>79</v>
      </c>
      <c r="AD267" s="162" t="s">
        <v>88</v>
      </c>
      <c r="AE267" s="40" t="s">
        <v>174</v>
      </c>
      <c r="AF267" s="40" t="s">
        <v>646</v>
      </c>
    </row>
    <row r="268" spans="1:32" ht="26.4" outlineLevel="1" x14ac:dyDescent="0.25">
      <c r="A268" s="222" t="s">
        <v>958</v>
      </c>
      <c r="B268" s="437" t="s">
        <v>1147</v>
      </c>
      <c r="C268" s="1628" t="s">
        <v>959</v>
      </c>
      <c r="D268" s="1629" t="s">
        <v>1056</v>
      </c>
      <c r="E268" s="1645" t="s">
        <v>960</v>
      </c>
      <c r="F268" s="1645" t="s">
        <v>960</v>
      </c>
      <c r="G268" s="1615">
        <v>4500</v>
      </c>
      <c r="H268" s="1359">
        <v>0</v>
      </c>
      <c r="I268" s="1239">
        <v>156.09</v>
      </c>
      <c r="J268" s="1340">
        <v>4077.48477</v>
      </c>
      <c r="K268" s="1189">
        <v>156.09</v>
      </c>
      <c r="L268" s="1195">
        <f t="shared" si="19"/>
        <v>4343.91</v>
      </c>
      <c r="M268" s="1341">
        <v>4500</v>
      </c>
      <c r="N268" s="233">
        <v>0</v>
      </c>
      <c r="O268" s="1615">
        <f t="shared" si="16"/>
        <v>4500</v>
      </c>
      <c r="P268" s="1191">
        <v>0</v>
      </c>
      <c r="Q268" s="1616">
        <v>0</v>
      </c>
      <c r="R268" s="1189">
        <v>0</v>
      </c>
      <c r="S268" s="2003">
        <v>0</v>
      </c>
      <c r="T268" s="1190">
        <v>0</v>
      </c>
      <c r="U268" s="1239">
        <v>0</v>
      </c>
      <c r="V268" s="1189">
        <v>0</v>
      </c>
      <c r="W268" s="1189">
        <v>0</v>
      </c>
      <c r="X268" s="2003">
        <v>0</v>
      </c>
      <c r="Y268" s="1616">
        <v>0</v>
      </c>
      <c r="Z268" s="1985" t="s">
        <v>72</v>
      </c>
      <c r="AA268" s="2212" t="s">
        <v>151</v>
      </c>
      <c r="AB268" s="1987" t="s">
        <v>1236</v>
      </c>
      <c r="AC268" s="1987" t="s">
        <v>80</v>
      </c>
      <c r="AD268" s="1985" t="s">
        <v>89</v>
      </c>
      <c r="AE268" s="1629" t="s">
        <v>176</v>
      </c>
      <c r="AF268" s="1629" t="s">
        <v>646</v>
      </c>
    </row>
    <row r="269" spans="1:32" ht="26.4" outlineLevel="1" x14ac:dyDescent="0.25">
      <c r="A269" s="241" t="s">
        <v>961</v>
      </c>
      <c r="B269" s="1811" t="s">
        <v>1148</v>
      </c>
      <c r="C269" s="1798" t="s">
        <v>962</v>
      </c>
      <c r="D269" s="1803" t="s">
        <v>1056</v>
      </c>
      <c r="E269" s="1804" t="s">
        <v>963</v>
      </c>
      <c r="F269" s="1804" t="s">
        <v>963</v>
      </c>
      <c r="G269" s="1816">
        <v>2933.6444999999999</v>
      </c>
      <c r="H269" s="1365">
        <v>0</v>
      </c>
      <c r="I269" s="1294">
        <v>1418.55124</v>
      </c>
      <c r="J269" s="1355">
        <v>1515.0932600000001</v>
      </c>
      <c r="K269" s="1356">
        <v>1418.55124</v>
      </c>
      <c r="L269" s="1357">
        <f t="shared" si="19"/>
        <v>1515.0932599999999</v>
      </c>
      <c r="M269" s="1358">
        <v>3000</v>
      </c>
      <c r="N269" s="817">
        <v>-66.355500000000006</v>
      </c>
      <c r="O269" s="1816">
        <f t="shared" si="16"/>
        <v>2933.6444999999999</v>
      </c>
      <c r="P269" s="1296">
        <v>0</v>
      </c>
      <c r="Q269" s="2213">
        <v>0</v>
      </c>
      <c r="R269" s="1356">
        <v>0</v>
      </c>
      <c r="S269" s="2126">
        <v>0</v>
      </c>
      <c r="T269" s="1295">
        <v>0</v>
      </c>
      <c r="U269" s="1294">
        <v>0</v>
      </c>
      <c r="V269" s="1356">
        <v>0</v>
      </c>
      <c r="W269" s="1356">
        <v>0</v>
      </c>
      <c r="X269" s="2126">
        <v>0</v>
      </c>
      <c r="Y269" s="2213">
        <v>0</v>
      </c>
      <c r="Z269" s="2010" t="s">
        <v>1775</v>
      </c>
      <c r="AA269" s="2195" t="s">
        <v>83</v>
      </c>
      <c r="AB269" s="2201" t="s">
        <v>533</v>
      </c>
      <c r="AC269" s="2201" t="s">
        <v>80</v>
      </c>
      <c r="AD269" s="2010" t="s">
        <v>89</v>
      </c>
      <c r="AE269" s="1803" t="s">
        <v>178</v>
      </c>
      <c r="AF269" s="1803" t="s">
        <v>646</v>
      </c>
    </row>
    <row r="270" spans="1:32" ht="40.200000000000003" outlineLevel="1" thickBot="1" x14ac:dyDescent="0.3">
      <c r="A270" s="19" t="s">
        <v>964</v>
      </c>
      <c r="B270" s="19" t="s">
        <v>1260</v>
      </c>
      <c r="C270" s="1817" t="s">
        <v>965</v>
      </c>
      <c r="D270" s="1755" t="s">
        <v>1056</v>
      </c>
      <c r="E270" s="1782" t="s">
        <v>966</v>
      </c>
      <c r="F270" s="1782" t="s">
        <v>966</v>
      </c>
      <c r="G270" s="1818">
        <f>1500-1348.9799</f>
        <v>151.02009999999996</v>
      </c>
      <c r="H270" s="1377">
        <v>0</v>
      </c>
      <c r="I270" s="1306">
        <v>151.02010000000001</v>
      </c>
      <c r="J270" s="1378">
        <v>0</v>
      </c>
      <c r="K270" s="1379">
        <v>151.02010000000001</v>
      </c>
      <c r="L270" s="1307">
        <f t="shared" si="19"/>
        <v>0</v>
      </c>
      <c r="M270" s="1353">
        <v>151.02009999999996</v>
      </c>
      <c r="N270" s="224">
        <v>0</v>
      </c>
      <c r="O270" s="1818">
        <f t="shared" si="16"/>
        <v>151.02009999999996</v>
      </c>
      <c r="P270" s="1308">
        <v>0</v>
      </c>
      <c r="Q270" s="2163">
        <v>0</v>
      </c>
      <c r="R270" s="1306">
        <v>0</v>
      </c>
      <c r="S270" s="2133">
        <v>0</v>
      </c>
      <c r="T270" s="2163">
        <v>0</v>
      </c>
      <c r="U270" s="1306">
        <v>0</v>
      </c>
      <c r="V270" s="1379">
        <v>0</v>
      </c>
      <c r="W270" s="1379">
        <v>0</v>
      </c>
      <c r="X270" s="2133">
        <v>0</v>
      </c>
      <c r="Y270" s="2163">
        <v>0</v>
      </c>
      <c r="Z270" s="2214" t="s">
        <v>72</v>
      </c>
      <c r="AA270" s="1755" t="s">
        <v>83</v>
      </c>
      <c r="AB270" s="2164" t="s">
        <v>986</v>
      </c>
      <c r="AC270" s="2164" t="s">
        <v>79</v>
      </c>
      <c r="AD270" s="2214" t="s">
        <v>89</v>
      </c>
      <c r="AE270" s="1755" t="s">
        <v>167</v>
      </c>
      <c r="AF270" s="1755" t="s">
        <v>646</v>
      </c>
    </row>
    <row r="271" spans="1:32" ht="46.8" outlineLevel="1" x14ac:dyDescent="0.25">
      <c r="A271" s="225" t="s">
        <v>1149</v>
      </c>
      <c r="B271" s="225" t="s">
        <v>1307</v>
      </c>
      <c r="C271" s="1641" t="s">
        <v>1268</v>
      </c>
      <c r="D271" s="1819" t="s">
        <v>1219</v>
      </c>
      <c r="E271" s="1643" t="s">
        <v>4</v>
      </c>
      <c r="F271" s="1642" t="s">
        <v>1150</v>
      </c>
      <c r="G271" s="1617">
        <v>600000</v>
      </c>
      <c r="H271" s="1169">
        <v>0</v>
      </c>
      <c r="I271" s="1237">
        <v>0</v>
      </c>
      <c r="J271" s="1360">
        <v>0</v>
      </c>
      <c r="K271" s="1184">
        <v>0</v>
      </c>
      <c r="L271" s="1185">
        <f t="shared" si="19"/>
        <v>7500</v>
      </c>
      <c r="M271" s="1361">
        <v>7500</v>
      </c>
      <c r="N271" s="233">
        <v>0</v>
      </c>
      <c r="O271" s="1617">
        <f t="shared" si="16"/>
        <v>7500</v>
      </c>
      <c r="P271" s="1169">
        <v>192500</v>
      </c>
      <c r="Q271" s="1169">
        <v>100000</v>
      </c>
      <c r="R271" s="1237">
        <v>0</v>
      </c>
      <c r="S271" s="1999">
        <v>300000</v>
      </c>
      <c r="T271" s="1360">
        <v>0</v>
      </c>
      <c r="U271" s="1184">
        <v>0</v>
      </c>
      <c r="V271" s="1184">
        <v>0</v>
      </c>
      <c r="W271" s="1184">
        <v>0</v>
      </c>
      <c r="X271" s="1999">
        <v>0</v>
      </c>
      <c r="Y271" s="1238">
        <v>0</v>
      </c>
      <c r="Z271" s="2017" t="s">
        <v>72</v>
      </c>
      <c r="AA271" s="1642" t="s">
        <v>6</v>
      </c>
      <c r="AB271" s="2002" t="s">
        <v>1236</v>
      </c>
      <c r="AC271" s="2002" t="s">
        <v>79</v>
      </c>
      <c r="AD271" s="2017" t="s">
        <v>90</v>
      </c>
      <c r="AE271" s="1642" t="s">
        <v>167</v>
      </c>
      <c r="AF271" s="1642" t="s">
        <v>646</v>
      </c>
    </row>
    <row r="272" spans="1:32" ht="26.4" outlineLevel="1" x14ac:dyDescent="0.25">
      <c r="A272" s="222" t="s">
        <v>1151</v>
      </c>
      <c r="B272" s="222" t="s">
        <v>1261</v>
      </c>
      <c r="C272" s="1628" t="s">
        <v>1152</v>
      </c>
      <c r="D272" s="1629" t="s">
        <v>1219</v>
      </c>
      <c r="E272" s="1645" t="s">
        <v>23</v>
      </c>
      <c r="F272" s="1629" t="s">
        <v>23</v>
      </c>
      <c r="G272" s="1615">
        <v>1500</v>
      </c>
      <c r="H272" s="1191">
        <v>0</v>
      </c>
      <c r="I272" s="1239">
        <v>0</v>
      </c>
      <c r="J272" s="1340">
        <v>0</v>
      </c>
      <c r="K272" s="1189">
        <v>0</v>
      </c>
      <c r="L272" s="1195">
        <f t="shared" si="19"/>
        <v>1500</v>
      </c>
      <c r="M272" s="1341">
        <v>1500</v>
      </c>
      <c r="N272" s="233">
        <v>0</v>
      </c>
      <c r="O272" s="1615">
        <f t="shared" ref="O272:O286" si="20">M272+N272</f>
        <v>1500</v>
      </c>
      <c r="P272" s="1191">
        <v>0</v>
      </c>
      <c r="Q272" s="1191">
        <v>0</v>
      </c>
      <c r="R272" s="1239">
        <v>0</v>
      </c>
      <c r="S272" s="2003">
        <v>0</v>
      </c>
      <c r="T272" s="1340">
        <v>0</v>
      </c>
      <c r="U272" s="1189">
        <v>0</v>
      </c>
      <c r="V272" s="1189">
        <v>0</v>
      </c>
      <c r="W272" s="1189">
        <v>0</v>
      </c>
      <c r="X272" s="2003">
        <v>0</v>
      </c>
      <c r="Y272" s="1190">
        <v>0</v>
      </c>
      <c r="Z272" s="1985" t="s">
        <v>72</v>
      </c>
      <c r="AA272" s="1629" t="s">
        <v>10</v>
      </c>
      <c r="AB272" s="2002" t="s">
        <v>1236</v>
      </c>
      <c r="AC272" s="1986" t="s">
        <v>80</v>
      </c>
      <c r="AD272" s="1985">
        <v>1</v>
      </c>
      <c r="AE272" s="1629" t="s">
        <v>185</v>
      </c>
      <c r="AF272" s="1629" t="s">
        <v>646</v>
      </c>
    </row>
    <row r="273" spans="1:32" ht="31.2" outlineLevel="1" x14ac:dyDescent="0.25">
      <c r="A273" s="222" t="s">
        <v>1153</v>
      </c>
      <c r="B273" s="222" t="s">
        <v>1262</v>
      </c>
      <c r="C273" s="1628" t="s">
        <v>1269</v>
      </c>
      <c r="D273" s="1629" t="s">
        <v>1219</v>
      </c>
      <c r="E273" s="1645" t="s">
        <v>569</v>
      </c>
      <c r="F273" s="1629" t="s">
        <v>569</v>
      </c>
      <c r="G273" s="1615">
        <v>3500</v>
      </c>
      <c r="H273" s="1191">
        <v>0</v>
      </c>
      <c r="I273" s="1239">
        <v>0</v>
      </c>
      <c r="J273" s="1340">
        <v>0</v>
      </c>
      <c r="K273" s="1189">
        <v>0</v>
      </c>
      <c r="L273" s="1195">
        <f t="shared" si="19"/>
        <v>0</v>
      </c>
      <c r="M273" s="1341">
        <v>0</v>
      </c>
      <c r="N273" s="233">
        <v>0</v>
      </c>
      <c r="O273" s="1615">
        <f t="shared" si="20"/>
        <v>0</v>
      </c>
      <c r="P273" s="1191">
        <v>3500</v>
      </c>
      <c r="Q273" s="1191">
        <v>0</v>
      </c>
      <c r="R273" s="1239">
        <v>0</v>
      </c>
      <c r="S273" s="2003">
        <v>0</v>
      </c>
      <c r="T273" s="1340">
        <v>0</v>
      </c>
      <c r="U273" s="1189">
        <v>0</v>
      </c>
      <c r="V273" s="1189">
        <v>0</v>
      </c>
      <c r="W273" s="1189">
        <v>0</v>
      </c>
      <c r="X273" s="2003">
        <v>0</v>
      </c>
      <c r="Y273" s="1190">
        <v>0</v>
      </c>
      <c r="Z273" s="1985" t="s">
        <v>72</v>
      </c>
      <c r="AA273" s="1629" t="s">
        <v>10</v>
      </c>
      <c r="AB273" s="2002" t="s">
        <v>1237</v>
      </c>
      <c r="AC273" s="1986" t="s">
        <v>80</v>
      </c>
      <c r="AD273" s="1985">
        <v>1</v>
      </c>
      <c r="AE273" s="1629" t="s">
        <v>174</v>
      </c>
      <c r="AF273" s="1629" t="s">
        <v>646</v>
      </c>
    </row>
    <row r="274" spans="1:32" ht="27" outlineLevel="1" thickBot="1" x14ac:dyDescent="0.3">
      <c r="A274" s="552" t="s">
        <v>1167</v>
      </c>
      <c r="B274" s="552" t="s">
        <v>1308</v>
      </c>
      <c r="C274" s="663" t="s">
        <v>1168</v>
      </c>
      <c r="D274" s="56" t="s">
        <v>1219</v>
      </c>
      <c r="E274" s="69" t="s">
        <v>64</v>
      </c>
      <c r="F274" s="56" t="s">
        <v>64</v>
      </c>
      <c r="G274" s="111">
        <v>3500</v>
      </c>
      <c r="H274" s="672">
        <v>0</v>
      </c>
      <c r="I274" s="670">
        <v>0</v>
      </c>
      <c r="J274" s="790">
        <v>0</v>
      </c>
      <c r="K274" s="668">
        <v>0</v>
      </c>
      <c r="L274" s="669">
        <f t="shared" si="19"/>
        <v>1180</v>
      </c>
      <c r="M274" s="714">
        <v>3500</v>
      </c>
      <c r="N274" s="111">
        <v>-2320</v>
      </c>
      <c r="O274" s="111">
        <f t="shared" si="20"/>
        <v>1180</v>
      </c>
      <c r="P274" s="672">
        <v>2320</v>
      </c>
      <c r="Q274" s="672">
        <v>0</v>
      </c>
      <c r="R274" s="670">
        <v>0</v>
      </c>
      <c r="S274" s="819">
        <v>0</v>
      </c>
      <c r="T274" s="790">
        <v>0</v>
      </c>
      <c r="U274" s="668">
        <v>0</v>
      </c>
      <c r="V274" s="668">
        <v>0</v>
      </c>
      <c r="W274" s="668">
        <v>0</v>
      </c>
      <c r="X274" s="819">
        <v>0</v>
      </c>
      <c r="Y274" s="791">
        <v>0</v>
      </c>
      <c r="Z274" s="145" t="s">
        <v>1776</v>
      </c>
      <c r="AA274" s="56" t="s">
        <v>10</v>
      </c>
      <c r="AB274" s="112" t="s">
        <v>1236</v>
      </c>
      <c r="AC274" s="561" t="s">
        <v>80</v>
      </c>
      <c r="AD274" s="145">
        <v>1</v>
      </c>
      <c r="AE274" s="56" t="s">
        <v>180</v>
      </c>
      <c r="AF274" s="56" t="s">
        <v>646</v>
      </c>
    </row>
    <row r="275" spans="1:32" ht="31.2" outlineLevel="1" x14ac:dyDescent="0.25">
      <c r="A275" s="225" t="s">
        <v>1270</v>
      </c>
      <c r="B275" s="225" t="s">
        <v>1420</v>
      </c>
      <c r="C275" s="1641" t="s">
        <v>1271</v>
      </c>
      <c r="D275" s="1642" t="s">
        <v>1417</v>
      </c>
      <c r="E275" s="1643" t="s">
        <v>1272</v>
      </c>
      <c r="F275" s="1642" t="s">
        <v>1272</v>
      </c>
      <c r="G275" s="1617">
        <v>7000</v>
      </c>
      <c r="H275" s="1169">
        <v>0</v>
      </c>
      <c r="I275" s="1237">
        <v>0</v>
      </c>
      <c r="J275" s="1360">
        <v>1842.40166</v>
      </c>
      <c r="K275" s="1184">
        <v>0</v>
      </c>
      <c r="L275" s="1185">
        <f t="shared" si="19"/>
        <v>7000</v>
      </c>
      <c r="M275" s="1361">
        <v>7000</v>
      </c>
      <c r="N275" s="233">
        <v>0</v>
      </c>
      <c r="O275" s="1617">
        <f t="shared" si="20"/>
        <v>7000</v>
      </c>
      <c r="P275" s="1169">
        <v>0</v>
      </c>
      <c r="Q275" s="1169">
        <v>0</v>
      </c>
      <c r="R275" s="1237">
        <v>0</v>
      </c>
      <c r="S275" s="1999">
        <v>0</v>
      </c>
      <c r="T275" s="1360">
        <v>0</v>
      </c>
      <c r="U275" s="1237">
        <v>0</v>
      </c>
      <c r="V275" s="1184">
        <v>0</v>
      </c>
      <c r="W275" s="1184">
        <v>0</v>
      </c>
      <c r="X275" s="1999">
        <v>0</v>
      </c>
      <c r="Y275" s="1618">
        <v>0</v>
      </c>
      <c r="Z275" s="2215" t="s">
        <v>75</v>
      </c>
      <c r="AA275" s="1642" t="s">
        <v>10</v>
      </c>
      <c r="AB275" s="2002" t="s">
        <v>1236</v>
      </c>
      <c r="AC275" s="2002" t="s">
        <v>80</v>
      </c>
      <c r="AD275" s="2017">
        <v>1</v>
      </c>
      <c r="AE275" s="1642" t="s">
        <v>173</v>
      </c>
      <c r="AF275" s="1642" t="s">
        <v>646</v>
      </c>
    </row>
    <row r="276" spans="1:32" ht="26.4" outlineLevel="1" x14ac:dyDescent="0.25">
      <c r="A276" s="222" t="s">
        <v>1273</v>
      </c>
      <c r="B276" s="222" t="s">
        <v>1421</v>
      </c>
      <c r="C276" s="1628" t="s">
        <v>1274</v>
      </c>
      <c r="D276" s="1642" t="s">
        <v>1417</v>
      </c>
      <c r="E276" s="1645" t="s">
        <v>1275</v>
      </c>
      <c r="F276" s="1629" t="s">
        <v>1275</v>
      </c>
      <c r="G276" s="1615">
        <v>1200</v>
      </c>
      <c r="H276" s="1191">
        <v>0</v>
      </c>
      <c r="I276" s="1239">
        <v>0</v>
      </c>
      <c r="J276" s="1340">
        <v>0</v>
      </c>
      <c r="K276" s="1189">
        <v>0</v>
      </c>
      <c r="L276" s="1195">
        <f t="shared" si="19"/>
        <v>1200</v>
      </c>
      <c r="M276" s="1341">
        <v>1200</v>
      </c>
      <c r="N276" s="233">
        <v>0</v>
      </c>
      <c r="O276" s="1615">
        <f t="shared" si="20"/>
        <v>1200</v>
      </c>
      <c r="P276" s="1191">
        <v>0</v>
      </c>
      <c r="Q276" s="1191">
        <v>0</v>
      </c>
      <c r="R276" s="1239">
        <v>0</v>
      </c>
      <c r="S276" s="2003">
        <v>0</v>
      </c>
      <c r="T276" s="1340">
        <v>0</v>
      </c>
      <c r="U276" s="1239">
        <v>0</v>
      </c>
      <c r="V276" s="1189">
        <v>0</v>
      </c>
      <c r="W276" s="1189">
        <v>0</v>
      </c>
      <c r="X276" s="2003">
        <v>0</v>
      </c>
      <c r="Y276" s="1616">
        <v>0</v>
      </c>
      <c r="Z276" s="2216" t="s">
        <v>72</v>
      </c>
      <c r="AA276" s="1629" t="s">
        <v>10</v>
      </c>
      <c r="AB276" s="2002" t="s">
        <v>1236</v>
      </c>
      <c r="AC276" s="1986" t="s">
        <v>80</v>
      </c>
      <c r="AD276" s="1985">
        <v>1</v>
      </c>
      <c r="AE276" s="1629" t="s">
        <v>166</v>
      </c>
      <c r="AF276" s="1629" t="s">
        <v>646</v>
      </c>
    </row>
    <row r="277" spans="1:32" ht="26.4" outlineLevel="1" x14ac:dyDescent="0.25">
      <c r="A277" s="457" t="s">
        <v>1276</v>
      </c>
      <c r="B277" s="457" t="s">
        <v>1422</v>
      </c>
      <c r="C277" s="684" t="s">
        <v>1277</v>
      </c>
      <c r="D277" s="40" t="s">
        <v>1417</v>
      </c>
      <c r="E277" s="32" t="s">
        <v>102</v>
      </c>
      <c r="F277" s="41" t="s">
        <v>102</v>
      </c>
      <c r="G277" s="465">
        <v>7509.2400200000002</v>
      </c>
      <c r="H277" s="460">
        <v>0</v>
      </c>
      <c r="I277" s="463">
        <v>1252.61428</v>
      </c>
      <c r="J277" s="796">
        <v>0</v>
      </c>
      <c r="K277" s="464">
        <v>1252.61428</v>
      </c>
      <c r="L277" s="654">
        <f t="shared" si="19"/>
        <v>0</v>
      </c>
      <c r="M277" s="101">
        <v>4211.4417400000002</v>
      </c>
      <c r="N277" s="808">
        <v>-2958.82746</v>
      </c>
      <c r="O277" s="462">
        <f t="shared" si="20"/>
        <v>1252.6142800000002</v>
      </c>
      <c r="P277" s="465">
        <v>2958.82746</v>
      </c>
      <c r="Q277" s="465">
        <v>0</v>
      </c>
      <c r="R277" s="463">
        <v>3297.79828</v>
      </c>
      <c r="S277" s="820">
        <v>0</v>
      </c>
      <c r="T277" s="796">
        <v>0</v>
      </c>
      <c r="U277" s="797">
        <v>0</v>
      </c>
      <c r="V277" s="820">
        <v>0</v>
      </c>
      <c r="W277" s="464">
        <v>0</v>
      </c>
      <c r="X277" s="797">
        <v>0</v>
      </c>
      <c r="Y277" s="796">
        <v>0</v>
      </c>
      <c r="Z277" s="70" t="s">
        <v>1774</v>
      </c>
      <c r="AA277" s="41" t="s">
        <v>10</v>
      </c>
      <c r="AB277" s="114" t="s">
        <v>1236</v>
      </c>
      <c r="AC277" s="49" t="s">
        <v>80</v>
      </c>
      <c r="AD277" s="169">
        <v>2</v>
      </c>
      <c r="AE277" s="41" t="s">
        <v>166</v>
      </c>
      <c r="AF277" s="41" t="s">
        <v>646</v>
      </c>
    </row>
    <row r="278" spans="1:32" ht="31.2" outlineLevel="1" x14ac:dyDescent="0.25">
      <c r="A278" s="222" t="s">
        <v>1278</v>
      </c>
      <c r="B278" s="222" t="s">
        <v>1423</v>
      </c>
      <c r="C278" s="1628" t="s">
        <v>1279</v>
      </c>
      <c r="D278" s="1642" t="s">
        <v>1417</v>
      </c>
      <c r="E278" s="1645" t="s">
        <v>4</v>
      </c>
      <c r="F278" s="1629" t="s">
        <v>1280</v>
      </c>
      <c r="G278" s="1615">
        <v>1741</v>
      </c>
      <c r="H278" s="1191">
        <v>0</v>
      </c>
      <c r="I278" s="1239">
        <v>0</v>
      </c>
      <c r="J278" s="1340">
        <v>0</v>
      </c>
      <c r="K278" s="1189">
        <v>0</v>
      </c>
      <c r="L278" s="1195">
        <f t="shared" si="19"/>
        <v>1741</v>
      </c>
      <c r="M278" s="1341">
        <v>1741</v>
      </c>
      <c r="N278" s="233">
        <v>0</v>
      </c>
      <c r="O278" s="1615">
        <f t="shared" si="20"/>
        <v>1741</v>
      </c>
      <c r="P278" s="1191">
        <v>0</v>
      </c>
      <c r="Q278" s="1191">
        <v>0</v>
      </c>
      <c r="R278" s="1239">
        <v>0</v>
      </c>
      <c r="S278" s="2003">
        <v>0</v>
      </c>
      <c r="T278" s="1340">
        <v>0</v>
      </c>
      <c r="U278" s="1239">
        <v>0</v>
      </c>
      <c r="V278" s="1189">
        <v>0</v>
      </c>
      <c r="W278" s="1189">
        <v>0</v>
      </c>
      <c r="X278" s="2003">
        <v>0</v>
      </c>
      <c r="Y278" s="1616">
        <v>0</v>
      </c>
      <c r="Z278" s="2216" t="s">
        <v>72</v>
      </c>
      <c r="AA278" s="1808" t="s">
        <v>10</v>
      </c>
      <c r="AB278" s="2002" t="s">
        <v>1236</v>
      </c>
      <c r="AC278" s="1987" t="s">
        <v>80</v>
      </c>
      <c r="AD278" s="1985" t="s">
        <v>89</v>
      </c>
      <c r="AE278" s="1629" t="s">
        <v>175</v>
      </c>
      <c r="AF278" s="1629" t="s">
        <v>646</v>
      </c>
    </row>
    <row r="279" spans="1:32" ht="26.4" outlineLevel="1" x14ac:dyDescent="0.25">
      <c r="A279" s="222" t="s">
        <v>1281</v>
      </c>
      <c r="B279" s="222" t="s">
        <v>1424</v>
      </c>
      <c r="C279" s="1628" t="s">
        <v>1282</v>
      </c>
      <c r="D279" s="1642" t="s">
        <v>1417</v>
      </c>
      <c r="E279" s="1645" t="s">
        <v>826</v>
      </c>
      <c r="F279" s="1645" t="s">
        <v>826</v>
      </c>
      <c r="G279" s="1615">
        <v>8000</v>
      </c>
      <c r="H279" s="1191">
        <v>0</v>
      </c>
      <c r="I279" s="1239">
        <v>0</v>
      </c>
      <c r="J279" s="1340">
        <v>2721.6572699999997</v>
      </c>
      <c r="K279" s="1189">
        <v>0</v>
      </c>
      <c r="L279" s="1195">
        <f t="shared" si="19"/>
        <v>8000</v>
      </c>
      <c r="M279" s="1341">
        <v>8000</v>
      </c>
      <c r="N279" s="233">
        <v>0</v>
      </c>
      <c r="O279" s="1615">
        <f t="shared" si="20"/>
        <v>8000</v>
      </c>
      <c r="P279" s="1191">
        <v>0</v>
      </c>
      <c r="Q279" s="1191">
        <v>0</v>
      </c>
      <c r="R279" s="1239">
        <v>0</v>
      </c>
      <c r="S279" s="2003">
        <v>0</v>
      </c>
      <c r="T279" s="1340">
        <v>0</v>
      </c>
      <c r="U279" s="1239">
        <v>0</v>
      </c>
      <c r="V279" s="1189">
        <v>0</v>
      </c>
      <c r="W279" s="1189">
        <v>0</v>
      </c>
      <c r="X279" s="2003">
        <v>0</v>
      </c>
      <c r="Y279" s="1616">
        <v>0</v>
      </c>
      <c r="Z279" s="2216" t="s">
        <v>72</v>
      </c>
      <c r="AA279" s="1629" t="s">
        <v>10</v>
      </c>
      <c r="AB279" s="2002" t="s">
        <v>1236</v>
      </c>
      <c r="AC279" s="1987" t="s">
        <v>80</v>
      </c>
      <c r="AD279" s="1985">
        <v>1</v>
      </c>
      <c r="AE279" s="1629" t="s">
        <v>172</v>
      </c>
      <c r="AF279" s="1629" t="s">
        <v>646</v>
      </c>
    </row>
    <row r="280" spans="1:32" ht="27" outlineLevel="1" thickBot="1" x14ac:dyDescent="0.3">
      <c r="A280" s="552" t="s">
        <v>1418</v>
      </c>
      <c r="B280" s="552" t="s">
        <v>1524</v>
      </c>
      <c r="C280" s="663" t="s">
        <v>1284</v>
      </c>
      <c r="D280" s="56" t="s">
        <v>1417</v>
      </c>
      <c r="E280" s="69" t="s">
        <v>1285</v>
      </c>
      <c r="F280" s="56" t="s">
        <v>1285</v>
      </c>
      <c r="G280" s="111">
        <v>650</v>
      </c>
      <c r="H280" s="672">
        <v>0</v>
      </c>
      <c r="I280" s="670">
        <v>0</v>
      </c>
      <c r="J280" s="790">
        <v>0</v>
      </c>
      <c r="K280" s="668">
        <v>0</v>
      </c>
      <c r="L280" s="669">
        <f t="shared" si="19"/>
        <v>150</v>
      </c>
      <c r="M280" s="714">
        <v>650</v>
      </c>
      <c r="N280" s="111">
        <v>-500</v>
      </c>
      <c r="O280" s="111">
        <f t="shared" si="20"/>
        <v>150</v>
      </c>
      <c r="P280" s="672">
        <v>500</v>
      </c>
      <c r="Q280" s="672">
        <v>0</v>
      </c>
      <c r="R280" s="670">
        <v>0</v>
      </c>
      <c r="S280" s="819">
        <v>0</v>
      </c>
      <c r="T280" s="790">
        <v>0</v>
      </c>
      <c r="U280" s="670">
        <v>0</v>
      </c>
      <c r="V280" s="668">
        <v>0</v>
      </c>
      <c r="W280" s="668">
        <v>0</v>
      </c>
      <c r="X280" s="819">
        <v>0</v>
      </c>
      <c r="Y280" s="671">
        <v>0</v>
      </c>
      <c r="Z280" s="145" t="s">
        <v>1777</v>
      </c>
      <c r="AA280" s="56" t="s">
        <v>8</v>
      </c>
      <c r="AB280" s="112" t="s">
        <v>1236</v>
      </c>
      <c r="AC280" s="112" t="s">
        <v>79</v>
      </c>
      <c r="AD280" s="145" t="s">
        <v>88</v>
      </c>
      <c r="AE280" s="56" t="s">
        <v>174</v>
      </c>
      <c r="AF280" s="56" t="s">
        <v>646</v>
      </c>
    </row>
    <row r="281" spans="1:32" ht="26.4" outlineLevel="1" x14ac:dyDescent="0.25">
      <c r="A281" s="446" t="s">
        <v>1283</v>
      </c>
      <c r="B281" s="446" t="s">
        <v>75</v>
      </c>
      <c r="C281" s="687" t="s">
        <v>1425</v>
      </c>
      <c r="D281" s="40" t="s">
        <v>1513</v>
      </c>
      <c r="E281" s="52" t="s">
        <v>1426</v>
      </c>
      <c r="F281" s="40" t="s">
        <v>1426</v>
      </c>
      <c r="G281" s="622">
        <v>2000</v>
      </c>
      <c r="H281" s="161">
        <v>0</v>
      </c>
      <c r="I281" s="453">
        <v>0</v>
      </c>
      <c r="J281" s="786">
        <v>0</v>
      </c>
      <c r="K281" s="454">
        <v>0</v>
      </c>
      <c r="L281" s="647">
        <f t="shared" si="19"/>
        <v>100</v>
      </c>
      <c r="M281" s="688">
        <v>500</v>
      </c>
      <c r="N281" s="808">
        <v>-400</v>
      </c>
      <c r="O281" s="622">
        <f t="shared" si="20"/>
        <v>100</v>
      </c>
      <c r="P281" s="135">
        <v>1900</v>
      </c>
      <c r="Q281" s="455">
        <v>0</v>
      </c>
      <c r="R281" s="453">
        <v>0</v>
      </c>
      <c r="S281" s="818">
        <v>0</v>
      </c>
      <c r="T281" s="455">
        <v>0</v>
      </c>
      <c r="U281" s="453">
        <v>0</v>
      </c>
      <c r="V281" s="454">
        <v>0</v>
      </c>
      <c r="W281" s="454">
        <v>0</v>
      </c>
      <c r="X281" s="818">
        <v>0</v>
      </c>
      <c r="Y281" s="455">
        <v>0</v>
      </c>
      <c r="Z281" s="132" t="s">
        <v>1778</v>
      </c>
      <c r="AA281" s="40" t="s">
        <v>8</v>
      </c>
      <c r="AB281" s="456" t="s">
        <v>1236</v>
      </c>
      <c r="AC281" s="456" t="s">
        <v>79</v>
      </c>
      <c r="AD281" s="162" t="s">
        <v>88</v>
      </c>
      <c r="AE281" s="40" t="s">
        <v>180</v>
      </c>
      <c r="AF281" s="40" t="s">
        <v>646</v>
      </c>
    </row>
    <row r="282" spans="1:32" ht="27" outlineLevel="1" thickBot="1" x14ac:dyDescent="0.3">
      <c r="A282" s="552" t="s">
        <v>1427</v>
      </c>
      <c r="B282" s="552" t="s">
        <v>75</v>
      </c>
      <c r="C282" s="663" t="s">
        <v>1428</v>
      </c>
      <c r="D282" s="56" t="s">
        <v>1513</v>
      </c>
      <c r="E282" s="69" t="s">
        <v>4</v>
      </c>
      <c r="F282" s="56" t="s">
        <v>1429</v>
      </c>
      <c r="G282" s="111">
        <v>490000</v>
      </c>
      <c r="H282" s="816">
        <v>0</v>
      </c>
      <c r="I282" s="670">
        <v>0</v>
      </c>
      <c r="J282" s="790">
        <v>0</v>
      </c>
      <c r="K282" s="668">
        <v>0</v>
      </c>
      <c r="L282" s="669">
        <f t="shared" si="19"/>
        <v>1000</v>
      </c>
      <c r="M282" s="714">
        <v>6000</v>
      </c>
      <c r="N282" s="111">
        <v>-5000</v>
      </c>
      <c r="O282" s="111">
        <f t="shared" si="20"/>
        <v>1000</v>
      </c>
      <c r="P282" s="672">
        <v>489000</v>
      </c>
      <c r="Q282" s="671">
        <v>0</v>
      </c>
      <c r="R282" s="670">
        <v>0</v>
      </c>
      <c r="S282" s="819">
        <v>0</v>
      </c>
      <c r="T282" s="671">
        <v>0</v>
      </c>
      <c r="U282" s="670">
        <v>0</v>
      </c>
      <c r="V282" s="668">
        <v>0</v>
      </c>
      <c r="W282" s="668">
        <v>0</v>
      </c>
      <c r="X282" s="819">
        <v>0</v>
      </c>
      <c r="Y282" s="671">
        <v>0</v>
      </c>
      <c r="Z282" s="170" t="s">
        <v>1767</v>
      </c>
      <c r="AA282" s="56" t="s">
        <v>8</v>
      </c>
      <c r="AB282" s="561" t="s">
        <v>1236</v>
      </c>
      <c r="AC282" s="561" t="s">
        <v>79</v>
      </c>
      <c r="AD282" s="145" t="s">
        <v>88</v>
      </c>
      <c r="AE282" s="56" t="s">
        <v>167</v>
      </c>
      <c r="AF282" s="56" t="s">
        <v>646</v>
      </c>
    </row>
    <row r="283" spans="1:32" ht="26.4" outlineLevel="1" x14ac:dyDescent="0.25">
      <c r="A283" s="446" t="s">
        <v>1525</v>
      </c>
      <c r="B283" s="446" t="s">
        <v>75</v>
      </c>
      <c r="C283" s="687" t="s">
        <v>1779</v>
      </c>
      <c r="D283" s="40" t="s">
        <v>1657</v>
      </c>
      <c r="E283" s="52" t="s">
        <v>22</v>
      </c>
      <c r="F283" s="40" t="s">
        <v>22</v>
      </c>
      <c r="G283" s="622">
        <v>1500</v>
      </c>
      <c r="H283" s="161">
        <v>0</v>
      </c>
      <c r="I283" s="453">
        <v>0</v>
      </c>
      <c r="J283" s="786">
        <v>0</v>
      </c>
      <c r="K283" s="454">
        <v>0</v>
      </c>
      <c r="L283" s="647">
        <f t="shared" si="19"/>
        <v>300</v>
      </c>
      <c r="M283" s="688">
        <v>500</v>
      </c>
      <c r="N283" s="452">
        <v>-200</v>
      </c>
      <c r="O283" s="622">
        <f t="shared" si="20"/>
        <v>300</v>
      </c>
      <c r="P283" s="135">
        <v>1200</v>
      </c>
      <c r="Q283" s="455">
        <v>0</v>
      </c>
      <c r="R283" s="453">
        <v>0</v>
      </c>
      <c r="S283" s="818">
        <v>0</v>
      </c>
      <c r="T283" s="455">
        <v>0</v>
      </c>
      <c r="U283" s="453">
        <v>0</v>
      </c>
      <c r="V283" s="454">
        <v>0</v>
      </c>
      <c r="W283" s="454">
        <v>0</v>
      </c>
      <c r="X283" s="818">
        <v>0</v>
      </c>
      <c r="Y283" s="455">
        <v>0</v>
      </c>
      <c r="Z283" s="132" t="s">
        <v>1780</v>
      </c>
      <c r="AA283" s="40" t="s">
        <v>8</v>
      </c>
      <c r="AB283" s="114" t="s">
        <v>1236</v>
      </c>
      <c r="AC283" s="456" t="s">
        <v>79</v>
      </c>
      <c r="AD283" s="162" t="s">
        <v>88</v>
      </c>
      <c r="AE283" s="40" t="s">
        <v>186</v>
      </c>
      <c r="AF283" s="40" t="s">
        <v>646</v>
      </c>
    </row>
    <row r="284" spans="1:32" ht="31.2" outlineLevel="1" x14ac:dyDescent="0.25">
      <c r="A284" s="457" t="s">
        <v>1526</v>
      </c>
      <c r="B284" s="457" t="s">
        <v>75</v>
      </c>
      <c r="C284" s="684" t="s">
        <v>1527</v>
      </c>
      <c r="D284" s="40" t="s">
        <v>1657</v>
      </c>
      <c r="E284" s="32" t="s">
        <v>1528</v>
      </c>
      <c r="F284" s="41" t="s">
        <v>1528</v>
      </c>
      <c r="G284" s="462">
        <v>4000</v>
      </c>
      <c r="H284" s="795">
        <v>0</v>
      </c>
      <c r="I284" s="463">
        <v>0</v>
      </c>
      <c r="J284" s="796">
        <v>0</v>
      </c>
      <c r="K284" s="464">
        <v>0</v>
      </c>
      <c r="L284" s="654">
        <f t="shared" si="19"/>
        <v>1000</v>
      </c>
      <c r="M284" s="101">
        <v>2000</v>
      </c>
      <c r="N284" s="461">
        <v>-1000</v>
      </c>
      <c r="O284" s="462">
        <f t="shared" si="20"/>
        <v>1000</v>
      </c>
      <c r="P284" s="460">
        <v>2000</v>
      </c>
      <c r="Q284" s="465">
        <v>0</v>
      </c>
      <c r="R284" s="463">
        <v>0</v>
      </c>
      <c r="S284" s="820">
        <v>0</v>
      </c>
      <c r="T284" s="465">
        <v>1000</v>
      </c>
      <c r="U284" s="463">
        <v>0</v>
      </c>
      <c r="V284" s="464">
        <v>0</v>
      </c>
      <c r="W284" s="464">
        <v>0</v>
      </c>
      <c r="X284" s="820">
        <v>0</v>
      </c>
      <c r="Y284" s="465">
        <v>0</v>
      </c>
      <c r="Z284" s="70" t="s">
        <v>1419</v>
      </c>
      <c r="AA284" s="41" t="s">
        <v>8</v>
      </c>
      <c r="AB284" s="114" t="s">
        <v>1236</v>
      </c>
      <c r="AC284" s="466" t="s">
        <v>79</v>
      </c>
      <c r="AD284" s="169" t="s">
        <v>88</v>
      </c>
      <c r="AE284" s="41" t="s">
        <v>186</v>
      </c>
      <c r="AF284" s="41" t="s">
        <v>646</v>
      </c>
    </row>
    <row r="285" spans="1:32" ht="31.2" outlineLevel="1" x14ac:dyDescent="0.25">
      <c r="A285" s="222" t="s">
        <v>1529</v>
      </c>
      <c r="B285" s="222" t="s">
        <v>75</v>
      </c>
      <c r="C285" s="1628" t="s">
        <v>1530</v>
      </c>
      <c r="D285" s="1642" t="s">
        <v>1657</v>
      </c>
      <c r="E285" s="1645" t="s">
        <v>4</v>
      </c>
      <c r="F285" s="1629" t="s">
        <v>19</v>
      </c>
      <c r="G285" s="1615">
        <v>600</v>
      </c>
      <c r="H285" s="1359">
        <v>0</v>
      </c>
      <c r="I285" s="1239">
        <v>0</v>
      </c>
      <c r="J285" s="1340">
        <v>0</v>
      </c>
      <c r="K285" s="1189">
        <v>0</v>
      </c>
      <c r="L285" s="1195">
        <f t="shared" si="19"/>
        <v>600</v>
      </c>
      <c r="M285" s="1341">
        <v>600</v>
      </c>
      <c r="N285" s="237">
        <v>0</v>
      </c>
      <c r="O285" s="1615">
        <f t="shared" si="20"/>
        <v>600</v>
      </c>
      <c r="P285" s="1191">
        <v>0</v>
      </c>
      <c r="Q285" s="1616">
        <v>0</v>
      </c>
      <c r="R285" s="1239">
        <v>0</v>
      </c>
      <c r="S285" s="2003">
        <v>0</v>
      </c>
      <c r="T285" s="1616">
        <v>0</v>
      </c>
      <c r="U285" s="1239">
        <v>0</v>
      </c>
      <c r="V285" s="1189">
        <v>0</v>
      </c>
      <c r="W285" s="1189">
        <v>0</v>
      </c>
      <c r="X285" s="2003">
        <v>0</v>
      </c>
      <c r="Y285" s="1616">
        <v>0</v>
      </c>
      <c r="Z285" s="2216" t="s">
        <v>72</v>
      </c>
      <c r="AA285" s="1629" t="s">
        <v>10</v>
      </c>
      <c r="AB285" s="1987" t="s">
        <v>1236</v>
      </c>
      <c r="AC285" s="1987" t="s">
        <v>80</v>
      </c>
      <c r="AD285" s="1985">
        <v>1</v>
      </c>
      <c r="AE285" s="1629" t="s">
        <v>166</v>
      </c>
      <c r="AF285" s="1629" t="s">
        <v>646</v>
      </c>
    </row>
    <row r="286" spans="1:32" ht="31.8" outlineLevel="1" thickBot="1" x14ac:dyDescent="0.3">
      <c r="A286" s="302" t="s">
        <v>1531</v>
      </c>
      <c r="B286" s="302" t="s">
        <v>75</v>
      </c>
      <c r="C286" s="854" t="s">
        <v>1532</v>
      </c>
      <c r="D286" s="176" t="s">
        <v>1657</v>
      </c>
      <c r="E286" s="151" t="s">
        <v>810</v>
      </c>
      <c r="F286" s="176" t="s">
        <v>810</v>
      </c>
      <c r="G286" s="308">
        <f>5000-5000</f>
        <v>0</v>
      </c>
      <c r="H286" s="368">
        <v>0</v>
      </c>
      <c r="I286" s="304">
        <v>0</v>
      </c>
      <c r="J286" s="371">
        <v>0</v>
      </c>
      <c r="K286" s="367">
        <v>0</v>
      </c>
      <c r="L286" s="434">
        <f t="shared" si="19"/>
        <v>0</v>
      </c>
      <c r="M286" s="855">
        <v>500</v>
      </c>
      <c r="N286" s="307">
        <v>-500</v>
      </c>
      <c r="O286" s="308">
        <f t="shared" si="20"/>
        <v>0</v>
      </c>
      <c r="P286" s="306">
        <f>4500-4500</f>
        <v>0</v>
      </c>
      <c r="Q286" s="369">
        <v>0</v>
      </c>
      <c r="R286" s="304">
        <v>0</v>
      </c>
      <c r="S286" s="305">
        <v>0</v>
      </c>
      <c r="T286" s="369">
        <v>0</v>
      </c>
      <c r="U286" s="304">
        <v>0</v>
      </c>
      <c r="V286" s="367">
        <v>0</v>
      </c>
      <c r="W286" s="367">
        <v>0</v>
      </c>
      <c r="X286" s="305">
        <v>0</v>
      </c>
      <c r="Y286" s="369">
        <v>0</v>
      </c>
      <c r="Z286" s="1158" t="s">
        <v>1791</v>
      </c>
      <c r="AA286" s="176" t="s">
        <v>81</v>
      </c>
      <c r="AB286" s="370" t="s">
        <v>533</v>
      </c>
      <c r="AC286" s="370" t="s">
        <v>79</v>
      </c>
      <c r="AD286" s="344">
        <v>3</v>
      </c>
      <c r="AE286" s="176" t="s">
        <v>180</v>
      </c>
      <c r="AF286" s="176" t="s">
        <v>646</v>
      </c>
    </row>
    <row r="287" spans="1:32" ht="31.2" outlineLevel="1" x14ac:dyDescent="0.25">
      <c r="A287" s="720" t="s">
        <v>1278</v>
      </c>
      <c r="B287" s="821" t="s">
        <v>75</v>
      </c>
      <c r="C287" s="822" t="s">
        <v>1781</v>
      </c>
      <c r="D287" s="118" t="s">
        <v>75</v>
      </c>
      <c r="E287" s="823" t="s">
        <v>1782</v>
      </c>
      <c r="F287" s="823" t="s">
        <v>1782</v>
      </c>
      <c r="G287" s="824">
        <v>1000</v>
      </c>
      <c r="H287" s="825">
        <v>0</v>
      </c>
      <c r="I287" s="826">
        <v>0</v>
      </c>
      <c r="J287" s="827">
        <v>0</v>
      </c>
      <c r="K287" s="828">
        <v>0</v>
      </c>
      <c r="L287" s="506">
        <f t="shared" si="19"/>
        <v>0</v>
      </c>
      <c r="M287" s="829">
        <v>0</v>
      </c>
      <c r="N287" s="830">
        <v>0</v>
      </c>
      <c r="O287" s="502">
        <f>M287+N287</f>
        <v>0</v>
      </c>
      <c r="P287" s="831">
        <v>1000</v>
      </c>
      <c r="Q287" s="832">
        <v>0</v>
      </c>
      <c r="R287" s="826">
        <v>0</v>
      </c>
      <c r="S287" s="833">
        <v>0</v>
      </c>
      <c r="T287" s="832">
        <v>0</v>
      </c>
      <c r="U287" s="826">
        <v>0</v>
      </c>
      <c r="V287" s="828">
        <v>0</v>
      </c>
      <c r="W287" s="828">
        <v>0</v>
      </c>
      <c r="X287" s="833">
        <v>0</v>
      </c>
      <c r="Y287" s="832">
        <v>0</v>
      </c>
      <c r="Z287" s="2594" t="s">
        <v>1792</v>
      </c>
      <c r="AA287" s="33" t="s">
        <v>8</v>
      </c>
      <c r="AB287" s="2595" t="s">
        <v>1236</v>
      </c>
      <c r="AC287" s="835" t="s">
        <v>79</v>
      </c>
      <c r="AD287" s="834">
        <v>3</v>
      </c>
      <c r="AE287" s="836" t="s">
        <v>173</v>
      </c>
      <c r="AF287" s="836" t="s">
        <v>646</v>
      </c>
    </row>
    <row r="288" spans="1:32" ht="31.2" outlineLevel="1" x14ac:dyDescent="0.25">
      <c r="A288" s="730" t="s">
        <v>1281</v>
      </c>
      <c r="B288" s="837" t="s">
        <v>75</v>
      </c>
      <c r="C288" s="838" t="s">
        <v>1783</v>
      </c>
      <c r="D288" s="118" t="s">
        <v>75</v>
      </c>
      <c r="E288" s="839" t="s">
        <v>1782</v>
      </c>
      <c r="F288" s="839" t="s">
        <v>1782</v>
      </c>
      <c r="G288" s="840">
        <v>500</v>
      </c>
      <c r="H288" s="841">
        <v>0</v>
      </c>
      <c r="I288" s="842">
        <v>0</v>
      </c>
      <c r="J288" s="843">
        <v>0</v>
      </c>
      <c r="K288" s="844">
        <v>0</v>
      </c>
      <c r="L288" s="518">
        <f t="shared" ref="L288:L292" si="21">O288-K288</f>
        <v>0</v>
      </c>
      <c r="M288" s="845">
        <v>0</v>
      </c>
      <c r="N288" s="846">
        <v>0</v>
      </c>
      <c r="O288" s="513">
        <f t="shared" ref="O288:O292" si="22">M288+N288</f>
        <v>0</v>
      </c>
      <c r="P288" s="847">
        <v>500</v>
      </c>
      <c r="Q288" s="848">
        <v>0</v>
      </c>
      <c r="R288" s="842">
        <v>0</v>
      </c>
      <c r="S288" s="849">
        <v>0</v>
      </c>
      <c r="T288" s="848">
        <v>0</v>
      </c>
      <c r="U288" s="842">
        <v>0</v>
      </c>
      <c r="V288" s="844">
        <v>0</v>
      </c>
      <c r="W288" s="844">
        <v>0</v>
      </c>
      <c r="X288" s="849">
        <v>0</v>
      </c>
      <c r="Y288" s="848">
        <v>0</v>
      </c>
      <c r="Z288" s="2596" t="s">
        <v>1793</v>
      </c>
      <c r="AA288" s="31" t="s">
        <v>8</v>
      </c>
      <c r="AB288" s="2597" t="s">
        <v>1236</v>
      </c>
      <c r="AC288" s="851" t="s">
        <v>79</v>
      </c>
      <c r="AD288" s="850">
        <v>3</v>
      </c>
      <c r="AE288" s="852" t="s">
        <v>173</v>
      </c>
      <c r="AF288" s="852" t="s">
        <v>646</v>
      </c>
    </row>
    <row r="289" spans="1:32" ht="31.2" outlineLevel="1" x14ac:dyDescent="0.25">
      <c r="A289" s="730" t="s">
        <v>1418</v>
      </c>
      <c r="B289" s="837" t="s">
        <v>75</v>
      </c>
      <c r="C289" s="838" t="s">
        <v>1784</v>
      </c>
      <c r="D289" s="118" t="s">
        <v>75</v>
      </c>
      <c r="E289" s="839" t="s">
        <v>1785</v>
      </c>
      <c r="F289" s="852" t="s">
        <v>1785</v>
      </c>
      <c r="G289" s="840">
        <v>1600</v>
      </c>
      <c r="H289" s="841">
        <v>0</v>
      </c>
      <c r="I289" s="842">
        <v>0</v>
      </c>
      <c r="J289" s="843">
        <v>0</v>
      </c>
      <c r="K289" s="844">
        <v>0</v>
      </c>
      <c r="L289" s="518">
        <f t="shared" si="21"/>
        <v>0</v>
      </c>
      <c r="M289" s="845">
        <v>0</v>
      </c>
      <c r="N289" s="846">
        <v>0</v>
      </c>
      <c r="O289" s="513">
        <f t="shared" si="22"/>
        <v>0</v>
      </c>
      <c r="P289" s="847">
        <v>1600</v>
      </c>
      <c r="Q289" s="515">
        <v>0</v>
      </c>
      <c r="R289" s="514">
        <v>0</v>
      </c>
      <c r="S289" s="519">
        <v>0</v>
      </c>
      <c r="T289" s="515">
        <v>0</v>
      </c>
      <c r="U289" s="514">
        <v>0</v>
      </c>
      <c r="V289" s="517">
        <v>0</v>
      </c>
      <c r="W289" s="517">
        <v>0</v>
      </c>
      <c r="X289" s="519">
        <v>0</v>
      </c>
      <c r="Y289" s="515">
        <v>0</v>
      </c>
      <c r="Z289" s="2596" t="s">
        <v>1794</v>
      </c>
      <c r="AA289" s="31" t="s">
        <v>8</v>
      </c>
      <c r="AB289" s="2597" t="s">
        <v>1236</v>
      </c>
      <c r="AC289" s="851" t="s">
        <v>79</v>
      </c>
      <c r="AD289" s="850">
        <v>3</v>
      </c>
      <c r="AE289" s="852" t="s">
        <v>560</v>
      </c>
      <c r="AF289" s="852" t="s">
        <v>646</v>
      </c>
    </row>
    <row r="290" spans="1:32" ht="39.6" outlineLevel="1" x14ac:dyDescent="0.25">
      <c r="A290" s="730" t="s">
        <v>1283</v>
      </c>
      <c r="B290" s="837" t="s">
        <v>75</v>
      </c>
      <c r="C290" s="838" t="s">
        <v>1786</v>
      </c>
      <c r="D290" s="118" t="s">
        <v>75</v>
      </c>
      <c r="E290" s="839" t="s">
        <v>1787</v>
      </c>
      <c r="F290" s="839" t="s">
        <v>1787</v>
      </c>
      <c r="G290" s="840">
        <v>500</v>
      </c>
      <c r="H290" s="841">
        <v>0</v>
      </c>
      <c r="I290" s="842">
        <v>0</v>
      </c>
      <c r="J290" s="843">
        <v>0</v>
      </c>
      <c r="K290" s="844">
        <v>0</v>
      </c>
      <c r="L290" s="518">
        <f t="shared" si="21"/>
        <v>0</v>
      </c>
      <c r="M290" s="845">
        <v>0</v>
      </c>
      <c r="N290" s="846">
        <v>0</v>
      </c>
      <c r="O290" s="513">
        <f t="shared" si="22"/>
        <v>0</v>
      </c>
      <c r="P290" s="847">
        <v>500</v>
      </c>
      <c r="Q290" s="515">
        <v>0</v>
      </c>
      <c r="R290" s="514">
        <v>0</v>
      </c>
      <c r="S290" s="519">
        <v>0</v>
      </c>
      <c r="T290" s="515">
        <v>0</v>
      </c>
      <c r="U290" s="514">
        <v>0</v>
      </c>
      <c r="V290" s="517">
        <v>0</v>
      </c>
      <c r="W290" s="517">
        <v>0</v>
      </c>
      <c r="X290" s="519">
        <v>0</v>
      </c>
      <c r="Y290" s="515">
        <v>0</v>
      </c>
      <c r="Z290" s="2596" t="s">
        <v>1795</v>
      </c>
      <c r="AA290" s="31" t="s">
        <v>8</v>
      </c>
      <c r="AB290" s="2597" t="s">
        <v>1236</v>
      </c>
      <c r="AC290" s="851" t="s">
        <v>79</v>
      </c>
      <c r="AD290" s="850">
        <v>3</v>
      </c>
      <c r="AE290" s="852" t="s">
        <v>230</v>
      </c>
      <c r="AF290" s="852" t="s">
        <v>646</v>
      </c>
    </row>
    <row r="291" spans="1:32" ht="31.2" outlineLevel="1" x14ac:dyDescent="0.25">
      <c r="A291" s="730" t="s">
        <v>1427</v>
      </c>
      <c r="B291" s="837" t="s">
        <v>75</v>
      </c>
      <c r="C291" s="838" t="s">
        <v>1788</v>
      </c>
      <c r="D291" s="118" t="s">
        <v>75</v>
      </c>
      <c r="E291" s="839" t="s">
        <v>960</v>
      </c>
      <c r="F291" s="839" t="s">
        <v>960</v>
      </c>
      <c r="G291" s="840">
        <v>5000</v>
      </c>
      <c r="H291" s="841">
        <v>0</v>
      </c>
      <c r="I291" s="842">
        <v>0</v>
      </c>
      <c r="J291" s="843">
        <v>0</v>
      </c>
      <c r="K291" s="844">
        <v>0</v>
      </c>
      <c r="L291" s="518">
        <f t="shared" si="21"/>
        <v>0</v>
      </c>
      <c r="M291" s="845">
        <v>0</v>
      </c>
      <c r="N291" s="846">
        <v>0</v>
      </c>
      <c r="O291" s="513">
        <f t="shared" si="22"/>
        <v>0</v>
      </c>
      <c r="P291" s="847">
        <v>5000</v>
      </c>
      <c r="Q291" s="515">
        <v>0</v>
      </c>
      <c r="R291" s="514">
        <v>0</v>
      </c>
      <c r="S291" s="519">
        <v>0</v>
      </c>
      <c r="T291" s="515">
        <v>0</v>
      </c>
      <c r="U291" s="514">
        <v>0</v>
      </c>
      <c r="V291" s="517">
        <v>0</v>
      </c>
      <c r="W291" s="517">
        <v>0</v>
      </c>
      <c r="X291" s="519">
        <v>0</v>
      </c>
      <c r="Y291" s="515">
        <v>0</v>
      </c>
      <c r="Z291" s="2596" t="s">
        <v>1796</v>
      </c>
      <c r="AA291" s="31" t="s">
        <v>8</v>
      </c>
      <c r="AB291" s="2597" t="s">
        <v>1236</v>
      </c>
      <c r="AC291" s="851" t="s">
        <v>79</v>
      </c>
      <c r="AD291" s="853">
        <v>3</v>
      </c>
      <c r="AE291" s="836" t="s">
        <v>176</v>
      </c>
      <c r="AF291" s="852" t="s">
        <v>646</v>
      </c>
    </row>
    <row r="292" spans="1:32" ht="31.2" outlineLevel="1" x14ac:dyDescent="0.25">
      <c r="A292" s="730" t="s">
        <v>1525</v>
      </c>
      <c r="B292" s="837" t="s">
        <v>75</v>
      </c>
      <c r="C292" s="838" t="s">
        <v>1789</v>
      </c>
      <c r="D292" s="118" t="s">
        <v>75</v>
      </c>
      <c r="E292" s="839" t="s">
        <v>1790</v>
      </c>
      <c r="F292" s="839" t="s">
        <v>1790</v>
      </c>
      <c r="G292" s="840">
        <v>1500</v>
      </c>
      <c r="H292" s="841">
        <v>0</v>
      </c>
      <c r="I292" s="842">
        <v>0</v>
      </c>
      <c r="J292" s="843">
        <v>0</v>
      </c>
      <c r="K292" s="844">
        <v>0</v>
      </c>
      <c r="L292" s="518">
        <f t="shared" si="21"/>
        <v>0</v>
      </c>
      <c r="M292" s="845">
        <v>0</v>
      </c>
      <c r="N292" s="846">
        <v>0</v>
      </c>
      <c r="O292" s="513">
        <f t="shared" si="22"/>
        <v>0</v>
      </c>
      <c r="P292" s="847">
        <v>1500</v>
      </c>
      <c r="Q292" s="515">
        <v>0</v>
      </c>
      <c r="R292" s="514">
        <v>0</v>
      </c>
      <c r="S292" s="519">
        <v>0</v>
      </c>
      <c r="T292" s="515">
        <v>0</v>
      </c>
      <c r="U292" s="514">
        <v>0</v>
      </c>
      <c r="V292" s="517">
        <v>0</v>
      </c>
      <c r="W292" s="517">
        <v>0</v>
      </c>
      <c r="X292" s="519">
        <v>0</v>
      </c>
      <c r="Y292" s="515">
        <v>0</v>
      </c>
      <c r="Z292" s="2596" t="s">
        <v>1797</v>
      </c>
      <c r="AA292" s="31" t="s">
        <v>8</v>
      </c>
      <c r="AB292" s="2597" t="s">
        <v>1236</v>
      </c>
      <c r="AC292" s="851" t="s">
        <v>79</v>
      </c>
      <c r="AD292" s="853">
        <v>3</v>
      </c>
      <c r="AE292" s="836" t="s">
        <v>180</v>
      </c>
      <c r="AF292" s="852" t="s">
        <v>646</v>
      </c>
    </row>
    <row r="293" spans="1:32" outlineLevel="1" thickBot="1" x14ac:dyDescent="0.3">
      <c r="A293" s="20" t="s">
        <v>84</v>
      </c>
      <c r="B293" s="20" t="s">
        <v>84</v>
      </c>
      <c r="C293" s="1679" t="s">
        <v>84</v>
      </c>
      <c r="D293" s="78" t="s">
        <v>1169</v>
      </c>
      <c r="E293" s="1667" t="s">
        <v>84</v>
      </c>
      <c r="F293" s="78" t="s">
        <v>84</v>
      </c>
      <c r="G293" s="1820" t="s">
        <v>84</v>
      </c>
      <c r="H293" s="122" t="s">
        <v>84</v>
      </c>
      <c r="I293" s="120" t="s">
        <v>84</v>
      </c>
      <c r="J293" s="1380" t="s">
        <v>84</v>
      </c>
      <c r="K293" s="86" t="s">
        <v>84</v>
      </c>
      <c r="L293" s="410" t="s">
        <v>84</v>
      </c>
      <c r="M293" s="38" t="s">
        <v>84</v>
      </c>
      <c r="N293" s="79" t="s">
        <v>84</v>
      </c>
      <c r="O293" s="152" t="s">
        <v>84</v>
      </c>
      <c r="P293" s="1820" t="s">
        <v>84</v>
      </c>
      <c r="Q293" s="2217" t="s">
        <v>84</v>
      </c>
      <c r="R293" s="2218" t="s">
        <v>84</v>
      </c>
      <c r="S293" s="2219" t="s">
        <v>84</v>
      </c>
      <c r="T293" s="2217" t="s">
        <v>84</v>
      </c>
      <c r="U293" s="2218" t="s">
        <v>84</v>
      </c>
      <c r="V293" s="2220" t="s">
        <v>84</v>
      </c>
      <c r="W293" s="2220" t="s">
        <v>84</v>
      </c>
      <c r="X293" s="2219" t="s">
        <v>84</v>
      </c>
      <c r="Y293" s="2217" t="s">
        <v>84</v>
      </c>
      <c r="Z293" s="2217" t="s">
        <v>84</v>
      </c>
      <c r="AA293" s="78" t="s">
        <v>84</v>
      </c>
      <c r="AB293" s="21" t="s">
        <v>84</v>
      </c>
      <c r="AC293" s="21" t="s">
        <v>84</v>
      </c>
      <c r="AD293" s="20" t="s">
        <v>84</v>
      </c>
      <c r="AE293" s="78" t="s">
        <v>84</v>
      </c>
      <c r="AF293" s="78" t="s">
        <v>84</v>
      </c>
    </row>
    <row r="294" spans="1:32" s="967" customFormat="1" ht="18" thickBot="1" x14ac:dyDescent="0.3">
      <c r="A294" s="272" t="s">
        <v>96</v>
      </c>
      <c r="B294" s="273"/>
      <c r="C294" s="279"/>
      <c r="D294" s="7" t="s">
        <v>72</v>
      </c>
      <c r="E294" s="384" t="s">
        <v>72</v>
      </c>
      <c r="F294" s="359" t="s">
        <v>72</v>
      </c>
      <c r="G294" s="166">
        <f>SUM(G224:G293)</f>
        <v>2737359.8415999999</v>
      </c>
      <c r="H294" s="166">
        <f t="shared" ref="H294:Y294" si="23">SUM(H224:H293)</f>
        <v>69284.873919999998</v>
      </c>
      <c r="I294" s="166">
        <f t="shared" si="23"/>
        <v>47773.854389999986</v>
      </c>
      <c r="J294" s="166">
        <f t="shared" si="23"/>
        <v>46238.98904</v>
      </c>
      <c r="K294" s="166">
        <f t="shared" si="23"/>
        <v>47773.854389999986</v>
      </c>
      <c r="L294" s="166">
        <f t="shared" si="23"/>
        <v>147596.48195000002</v>
      </c>
      <c r="M294" s="166">
        <f t="shared" si="23"/>
        <v>289547.95017999999</v>
      </c>
      <c r="N294" s="166">
        <f t="shared" si="23"/>
        <v>-94177.613840000005</v>
      </c>
      <c r="O294" s="166">
        <f t="shared" ref="O294:O357" si="24">M294+N294</f>
        <v>195370.33633999998</v>
      </c>
      <c r="P294" s="166">
        <f t="shared" si="23"/>
        <v>1708406.8330600001</v>
      </c>
      <c r="Q294" s="166">
        <f t="shared" si="23"/>
        <v>441000</v>
      </c>
      <c r="R294" s="166">
        <f t="shared" si="23"/>
        <v>3297.79828</v>
      </c>
      <c r="S294" s="166">
        <f t="shared" si="23"/>
        <v>316500</v>
      </c>
      <c r="T294" s="166">
        <f t="shared" si="23"/>
        <v>3500</v>
      </c>
      <c r="U294" s="166">
        <f t="shared" si="23"/>
        <v>0</v>
      </c>
      <c r="V294" s="166">
        <f t="shared" si="23"/>
        <v>0</v>
      </c>
      <c r="W294" s="166">
        <f t="shared" si="23"/>
        <v>0</v>
      </c>
      <c r="X294" s="166">
        <f t="shared" si="23"/>
        <v>0</v>
      </c>
      <c r="Y294" s="166">
        <f t="shared" si="23"/>
        <v>0</v>
      </c>
      <c r="Z294" s="7" t="s">
        <v>1651</v>
      </c>
      <c r="AA294" s="7" t="s">
        <v>72</v>
      </c>
      <c r="AB294" s="361" t="s">
        <v>72</v>
      </c>
      <c r="AC294" s="361" t="s">
        <v>72</v>
      </c>
      <c r="AD294" s="9" t="s">
        <v>72</v>
      </c>
      <c r="AE294" s="359" t="s">
        <v>72</v>
      </c>
      <c r="AF294" s="359" t="s">
        <v>72</v>
      </c>
    </row>
    <row r="295" spans="1:32" ht="31.2" outlineLevel="1" x14ac:dyDescent="0.25">
      <c r="A295" s="426" t="s">
        <v>216</v>
      </c>
      <c r="B295" s="1821" t="s">
        <v>323</v>
      </c>
      <c r="C295" s="1822" t="s">
        <v>26</v>
      </c>
      <c r="D295" s="1823" t="s">
        <v>906</v>
      </c>
      <c r="E295" s="1824" t="s">
        <v>199</v>
      </c>
      <c r="F295" s="1825" t="s">
        <v>199</v>
      </c>
      <c r="G295" s="1826">
        <f>86968.67959-4597.91058-0.222</f>
        <v>82370.547010000009</v>
      </c>
      <c r="H295" s="1381">
        <v>82295.769010000004</v>
      </c>
      <c r="I295" s="1382">
        <v>74.778000000000006</v>
      </c>
      <c r="J295" s="1383">
        <v>0</v>
      </c>
      <c r="K295" s="1384">
        <v>74.778000000000006</v>
      </c>
      <c r="L295" s="1385">
        <f t="shared" ref="L295:L326" si="25">O295-K295</f>
        <v>0</v>
      </c>
      <c r="M295" s="1276">
        <v>74.778000000000006</v>
      </c>
      <c r="N295" s="239">
        <v>0</v>
      </c>
      <c r="O295" s="2095">
        <f t="shared" si="24"/>
        <v>74.778000000000006</v>
      </c>
      <c r="P295" s="2221">
        <f>4597.91058-4597.91058</f>
        <v>0</v>
      </c>
      <c r="Q295" s="2222">
        <v>0</v>
      </c>
      <c r="R295" s="2223">
        <v>0</v>
      </c>
      <c r="S295" s="2224">
        <v>0</v>
      </c>
      <c r="T295" s="2225">
        <v>0</v>
      </c>
      <c r="U295" s="2226">
        <v>0</v>
      </c>
      <c r="V295" s="2227">
        <v>0</v>
      </c>
      <c r="W295" s="2227">
        <v>0</v>
      </c>
      <c r="X295" s="2227">
        <v>0</v>
      </c>
      <c r="Y295" s="2228">
        <v>0</v>
      </c>
      <c r="Z295" s="1823" t="s">
        <v>72</v>
      </c>
      <c r="AA295" s="1823" t="s">
        <v>83</v>
      </c>
      <c r="AB295" s="2229" t="s">
        <v>677</v>
      </c>
      <c r="AC295" s="2230" t="s">
        <v>80</v>
      </c>
      <c r="AD295" s="1823" t="s">
        <v>88</v>
      </c>
      <c r="AE295" s="1825" t="s">
        <v>560</v>
      </c>
      <c r="AF295" s="1825" t="s">
        <v>650</v>
      </c>
    </row>
    <row r="296" spans="1:32" ht="31.2" outlineLevel="1" x14ac:dyDescent="0.25">
      <c r="A296" s="457" t="s">
        <v>217</v>
      </c>
      <c r="B296" s="458" t="s">
        <v>324</v>
      </c>
      <c r="C296" s="868" t="s">
        <v>82</v>
      </c>
      <c r="D296" s="41" t="s">
        <v>77</v>
      </c>
      <c r="E296" s="981" t="s">
        <v>4</v>
      </c>
      <c r="F296" s="957" t="s">
        <v>237</v>
      </c>
      <c r="G296" s="47">
        <v>17500</v>
      </c>
      <c r="H296" s="81">
        <v>0</v>
      </c>
      <c r="I296" s="949">
        <v>0</v>
      </c>
      <c r="J296" s="950">
        <v>0</v>
      </c>
      <c r="K296" s="116">
        <v>0</v>
      </c>
      <c r="L296" s="123">
        <f t="shared" si="25"/>
        <v>0</v>
      </c>
      <c r="M296" s="135">
        <v>0</v>
      </c>
      <c r="N296" s="622">
        <v>0</v>
      </c>
      <c r="O296" s="462">
        <f t="shared" si="24"/>
        <v>0</v>
      </c>
      <c r="P296" s="460">
        <v>0</v>
      </c>
      <c r="Q296" s="869">
        <v>17500</v>
      </c>
      <c r="R296" s="870">
        <v>0</v>
      </c>
      <c r="S296" s="871">
        <v>0</v>
      </c>
      <c r="T296" s="99">
        <v>0</v>
      </c>
      <c r="U296" s="463">
        <v>0</v>
      </c>
      <c r="V296" s="454">
        <v>0</v>
      </c>
      <c r="W296" s="454">
        <v>0</v>
      </c>
      <c r="X296" s="464">
        <v>0</v>
      </c>
      <c r="Y296" s="797">
        <v>0</v>
      </c>
      <c r="Z296" s="41" t="s">
        <v>1816</v>
      </c>
      <c r="AA296" s="41" t="s">
        <v>24</v>
      </c>
      <c r="AB296" s="466" t="s">
        <v>1682</v>
      </c>
      <c r="AC296" s="466" t="s">
        <v>79</v>
      </c>
      <c r="AD296" s="49" t="s">
        <v>88</v>
      </c>
      <c r="AE296" s="957" t="s">
        <v>930</v>
      </c>
      <c r="AF296" s="957" t="s">
        <v>650</v>
      </c>
    </row>
    <row r="297" spans="1:32" ht="31.8" outlineLevel="1" thickBot="1" x14ac:dyDescent="0.3">
      <c r="A297" s="552" t="s">
        <v>218</v>
      </c>
      <c r="B297" s="872" t="s">
        <v>325</v>
      </c>
      <c r="C297" s="554" t="s">
        <v>236</v>
      </c>
      <c r="D297" s="56" t="s">
        <v>77</v>
      </c>
      <c r="E297" s="983" t="s">
        <v>30</v>
      </c>
      <c r="F297" s="984" t="s">
        <v>30</v>
      </c>
      <c r="G297" s="57">
        <v>248655</v>
      </c>
      <c r="H297" s="103">
        <v>21584.069</v>
      </c>
      <c r="I297" s="970">
        <v>0</v>
      </c>
      <c r="J297" s="971">
        <v>0</v>
      </c>
      <c r="K297" s="117">
        <v>0</v>
      </c>
      <c r="L297" s="134">
        <f t="shared" si="25"/>
        <v>0</v>
      </c>
      <c r="M297" s="672">
        <v>0</v>
      </c>
      <c r="N297" s="111">
        <v>0</v>
      </c>
      <c r="O297" s="111">
        <f t="shared" si="24"/>
        <v>0</v>
      </c>
      <c r="P297" s="672">
        <v>15000</v>
      </c>
      <c r="Q297" s="816">
        <f>223870.931-11800</f>
        <v>212070.93100000001</v>
      </c>
      <c r="R297" s="873">
        <v>0</v>
      </c>
      <c r="S297" s="107">
        <v>0</v>
      </c>
      <c r="T297" s="874">
        <v>0</v>
      </c>
      <c r="U297" s="670">
        <v>0</v>
      </c>
      <c r="V297" s="668">
        <v>0</v>
      </c>
      <c r="W297" s="668">
        <v>0</v>
      </c>
      <c r="X297" s="668">
        <v>0</v>
      </c>
      <c r="Y297" s="791">
        <v>0</v>
      </c>
      <c r="Z297" s="143" t="s">
        <v>1817</v>
      </c>
      <c r="AA297" s="56" t="s">
        <v>8</v>
      </c>
      <c r="AB297" s="561" t="s">
        <v>382</v>
      </c>
      <c r="AC297" s="561" t="s">
        <v>79</v>
      </c>
      <c r="AD297" s="112" t="s">
        <v>90</v>
      </c>
      <c r="AE297" s="56" t="s">
        <v>175</v>
      </c>
      <c r="AF297" s="56" t="s">
        <v>650</v>
      </c>
    </row>
    <row r="298" spans="1:32" ht="31.2" outlineLevel="1" x14ac:dyDescent="0.25">
      <c r="A298" s="225" t="s">
        <v>36</v>
      </c>
      <c r="B298" s="1640" t="s">
        <v>326</v>
      </c>
      <c r="C298" s="1827" t="s">
        <v>37</v>
      </c>
      <c r="D298" s="1642" t="s">
        <v>1022</v>
      </c>
      <c r="E298" s="1678" t="s">
        <v>30</v>
      </c>
      <c r="F298" s="1644" t="s">
        <v>30</v>
      </c>
      <c r="G298" s="1499">
        <v>30725.483690000001</v>
      </c>
      <c r="H298" s="1164">
        <v>2764.0028599999996</v>
      </c>
      <c r="I298" s="1165">
        <v>4280.2329899999995</v>
      </c>
      <c r="J298" s="1166">
        <v>7623.2470899999998</v>
      </c>
      <c r="K298" s="1235">
        <v>4280.2329900000004</v>
      </c>
      <c r="L298" s="1236">
        <f t="shared" si="25"/>
        <v>23681.24784</v>
      </c>
      <c r="M298" s="1169">
        <v>27961.48083</v>
      </c>
      <c r="N298" s="229">
        <v>0</v>
      </c>
      <c r="O298" s="1617">
        <f t="shared" si="24"/>
        <v>27961.48083</v>
      </c>
      <c r="P298" s="1169">
        <v>0</v>
      </c>
      <c r="Q298" s="1342">
        <v>0</v>
      </c>
      <c r="R298" s="2038">
        <v>0</v>
      </c>
      <c r="S298" s="2039">
        <v>0</v>
      </c>
      <c r="T298" s="2231">
        <v>0</v>
      </c>
      <c r="U298" s="1237">
        <v>0</v>
      </c>
      <c r="V298" s="1184">
        <v>0</v>
      </c>
      <c r="W298" s="1184">
        <v>0</v>
      </c>
      <c r="X298" s="1184">
        <v>0</v>
      </c>
      <c r="Y298" s="1238">
        <v>0</v>
      </c>
      <c r="Z298" s="1642" t="s">
        <v>72</v>
      </c>
      <c r="AA298" s="1642" t="s">
        <v>10</v>
      </c>
      <c r="AB298" s="2043" t="s">
        <v>382</v>
      </c>
      <c r="AC298" s="2001" t="s">
        <v>80</v>
      </c>
      <c r="AD298" s="1642">
        <v>2</v>
      </c>
      <c r="AE298" s="1642" t="s">
        <v>175</v>
      </c>
      <c r="AF298" s="1642" t="s">
        <v>650</v>
      </c>
    </row>
    <row r="299" spans="1:32" ht="31.2" outlineLevel="1" x14ac:dyDescent="0.25">
      <c r="A299" s="875" t="s">
        <v>38</v>
      </c>
      <c r="B299" s="458" t="s">
        <v>327</v>
      </c>
      <c r="C299" s="868" t="s">
        <v>74</v>
      </c>
      <c r="D299" s="41" t="s">
        <v>1022</v>
      </c>
      <c r="E299" s="981" t="s">
        <v>29</v>
      </c>
      <c r="F299" s="957" t="s">
        <v>29</v>
      </c>
      <c r="G299" s="47">
        <f>50410.85+283</f>
        <v>50693.85</v>
      </c>
      <c r="H299" s="81">
        <v>1091.7598</v>
      </c>
      <c r="I299" s="949">
        <v>0</v>
      </c>
      <c r="J299" s="950">
        <v>811.91</v>
      </c>
      <c r="K299" s="116">
        <v>0</v>
      </c>
      <c r="L299" s="123">
        <f t="shared" si="25"/>
        <v>999.95</v>
      </c>
      <c r="M299" s="135">
        <v>1509.95</v>
      </c>
      <c r="N299" s="622">
        <v>-510</v>
      </c>
      <c r="O299" s="462">
        <f t="shared" si="24"/>
        <v>999.95</v>
      </c>
      <c r="P299" s="460">
        <v>0</v>
      </c>
      <c r="Q299" s="135">
        <f>G299-H299-O299</f>
        <v>48602.140200000002</v>
      </c>
      <c r="R299" s="97">
        <v>0</v>
      </c>
      <c r="S299" s="98">
        <v>0</v>
      </c>
      <c r="T299" s="99">
        <v>0</v>
      </c>
      <c r="U299" s="463">
        <v>0</v>
      </c>
      <c r="V299" s="454">
        <v>0</v>
      </c>
      <c r="W299" s="454">
        <v>0</v>
      </c>
      <c r="X299" s="464">
        <v>0</v>
      </c>
      <c r="Y299" s="797">
        <v>0</v>
      </c>
      <c r="Z299" s="41" t="s">
        <v>1818</v>
      </c>
      <c r="AA299" s="41" t="s">
        <v>8</v>
      </c>
      <c r="AB299" s="466" t="s">
        <v>450</v>
      </c>
      <c r="AC299" s="60" t="s">
        <v>79</v>
      </c>
      <c r="AD299" s="41">
        <v>3</v>
      </c>
      <c r="AE299" s="41" t="s">
        <v>178</v>
      </c>
      <c r="AF299" s="41" t="s">
        <v>650</v>
      </c>
    </row>
    <row r="300" spans="1:32" ht="27" outlineLevel="1" thickBot="1" x14ac:dyDescent="0.3">
      <c r="A300" s="226" t="s">
        <v>39</v>
      </c>
      <c r="B300" s="1659" t="s">
        <v>328</v>
      </c>
      <c r="C300" s="1828" t="s">
        <v>40</v>
      </c>
      <c r="D300" s="1661" t="s">
        <v>1022</v>
      </c>
      <c r="E300" s="1785" t="s">
        <v>32</v>
      </c>
      <c r="F300" s="1663" t="s">
        <v>32</v>
      </c>
      <c r="G300" s="1719">
        <v>8500</v>
      </c>
      <c r="H300" s="1170">
        <v>3518.9567500000003</v>
      </c>
      <c r="I300" s="1171">
        <v>263.4298</v>
      </c>
      <c r="J300" s="1172">
        <v>0</v>
      </c>
      <c r="K300" s="1386">
        <v>263.4298</v>
      </c>
      <c r="L300" s="1387">
        <f t="shared" si="25"/>
        <v>0</v>
      </c>
      <c r="M300" s="152">
        <v>263.4298</v>
      </c>
      <c r="N300" s="178">
        <v>0</v>
      </c>
      <c r="O300" s="1613">
        <f t="shared" si="24"/>
        <v>263.4298</v>
      </c>
      <c r="P300" s="1218">
        <f>4724.04325-6.4298</f>
        <v>4717.6134499999998</v>
      </c>
      <c r="Q300" s="1362">
        <v>0</v>
      </c>
      <c r="R300" s="2232">
        <v>0</v>
      </c>
      <c r="S300" s="1497">
        <v>0</v>
      </c>
      <c r="T300" s="2233">
        <v>0</v>
      </c>
      <c r="U300" s="1273">
        <v>0</v>
      </c>
      <c r="V300" s="1222">
        <v>0</v>
      </c>
      <c r="W300" s="1222">
        <v>0</v>
      </c>
      <c r="X300" s="1216">
        <v>0</v>
      </c>
      <c r="Y300" s="1275">
        <v>0</v>
      </c>
      <c r="Z300" s="1661" t="s">
        <v>72</v>
      </c>
      <c r="AA300" s="1661" t="s">
        <v>8</v>
      </c>
      <c r="AB300" s="2088" t="s">
        <v>1311</v>
      </c>
      <c r="AC300" s="2025" t="s">
        <v>79</v>
      </c>
      <c r="AD300" s="1661">
        <v>1</v>
      </c>
      <c r="AE300" s="1663" t="s">
        <v>181</v>
      </c>
      <c r="AF300" s="1663" t="s">
        <v>650</v>
      </c>
    </row>
    <row r="301" spans="1:32" ht="40.200000000000003" outlineLevel="1" thickBot="1" x14ac:dyDescent="0.3">
      <c r="A301" s="602" t="s">
        <v>104</v>
      </c>
      <c r="B301" s="603" t="s">
        <v>329</v>
      </c>
      <c r="C301" s="766" t="s">
        <v>234</v>
      </c>
      <c r="D301" s="143" t="s">
        <v>128</v>
      </c>
      <c r="E301" s="968" t="s">
        <v>34</v>
      </c>
      <c r="F301" s="969" t="s">
        <v>34</v>
      </c>
      <c r="G301" s="125">
        <v>50000</v>
      </c>
      <c r="H301" s="103">
        <v>1769.9720600000001</v>
      </c>
      <c r="I301" s="970">
        <v>78.650000000000006</v>
      </c>
      <c r="J301" s="971">
        <v>11125.889020000002</v>
      </c>
      <c r="K301" s="556">
        <v>78.650000000000006</v>
      </c>
      <c r="L301" s="605">
        <f t="shared" si="25"/>
        <v>29921.35</v>
      </c>
      <c r="M301" s="606">
        <v>30985.227940000001</v>
      </c>
      <c r="N301" s="559">
        <v>-985.22793999999999</v>
      </c>
      <c r="O301" s="559">
        <f t="shared" si="24"/>
        <v>30000</v>
      </c>
      <c r="P301" s="606">
        <v>18230.02794</v>
      </c>
      <c r="Q301" s="477">
        <v>0</v>
      </c>
      <c r="R301" s="557">
        <v>0</v>
      </c>
      <c r="S301" s="201">
        <v>0</v>
      </c>
      <c r="T301" s="558">
        <v>0</v>
      </c>
      <c r="U301" s="607">
        <v>0</v>
      </c>
      <c r="V301" s="475">
        <v>0</v>
      </c>
      <c r="W301" s="475">
        <v>0</v>
      </c>
      <c r="X301" s="475">
        <v>0</v>
      </c>
      <c r="Y301" s="476">
        <v>0</v>
      </c>
      <c r="Z301" s="143" t="s">
        <v>1819</v>
      </c>
      <c r="AA301" s="143" t="s">
        <v>10</v>
      </c>
      <c r="AB301" s="764" t="s">
        <v>450</v>
      </c>
      <c r="AC301" s="186" t="s">
        <v>80</v>
      </c>
      <c r="AD301" s="187" t="s">
        <v>90</v>
      </c>
      <c r="AE301" s="969" t="s">
        <v>167</v>
      </c>
      <c r="AF301" s="969" t="s">
        <v>651</v>
      </c>
    </row>
    <row r="302" spans="1:32" ht="31.8" outlineLevel="1" thickBot="1" x14ac:dyDescent="0.3">
      <c r="A302" s="227" t="s">
        <v>130</v>
      </c>
      <c r="B302" s="1691" t="s">
        <v>330</v>
      </c>
      <c r="C302" s="1829" t="s">
        <v>405</v>
      </c>
      <c r="D302" s="2" t="s">
        <v>137</v>
      </c>
      <c r="E302" s="1830" t="s">
        <v>27</v>
      </c>
      <c r="F302" s="1638" t="s">
        <v>27</v>
      </c>
      <c r="G302" s="1639">
        <v>14720.000969999999</v>
      </c>
      <c r="H302" s="1175">
        <v>3006.3214899999998</v>
      </c>
      <c r="I302" s="1176">
        <v>4436.9259899999997</v>
      </c>
      <c r="J302" s="1177">
        <v>0</v>
      </c>
      <c r="K302" s="1178">
        <v>4436.9259899999997</v>
      </c>
      <c r="L302" s="1179">
        <f t="shared" si="25"/>
        <v>4276.7534899999991</v>
      </c>
      <c r="M302" s="1180">
        <v>8713.6794799999989</v>
      </c>
      <c r="N302" s="230">
        <v>0</v>
      </c>
      <c r="O302" s="1992">
        <f t="shared" si="24"/>
        <v>8713.6794799999989</v>
      </c>
      <c r="P302" s="1180">
        <v>3000</v>
      </c>
      <c r="Q302" s="2234">
        <v>0</v>
      </c>
      <c r="R302" s="1337">
        <v>0</v>
      </c>
      <c r="S302" s="1994">
        <v>0</v>
      </c>
      <c r="T302" s="1993">
        <v>0</v>
      </c>
      <c r="U302" s="1346">
        <v>0</v>
      </c>
      <c r="V302" s="1205">
        <v>0</v>
      </c>
      <c r="W302" s="1205">
        <v>0</v>
      </c>
      <c r="X302" s="1205">
        <v>0</v>
      </c>
      <c r="Y302" s="2013">
        <v>0</v>
      </c>
      <c r="Z302" s="2" t="s">
        <v>72</v>
      </c>
      <c r="AA302" s="2" t="s">
        <v>10</v>
      </c>
      <c r="AB302" s="1998" t="s">
        <v>1237</v>
      </c>
      <c r="AC302" s="2235" t="s">
        <v>80</v>
      </c>
      <c r="AD302" s="2">
        <v>1</v>
      </c>
      <c r="AE302" s="2236" t="s">
        <v>177</v>
      </c>
      <c r="AF302" s="1638" t="s">
        <v>650</v>
      </c>
    </row>
    <row r="303" spans="1:32" ht="31.8" outlineLevel="1" thickBot="1" x14ac:dyDescent="0.3">
      <c r="A303" s="602" t="s">
        <v>136</v>
      </c>
      <c r="B303" s="603" t="s">
        <v>331</v>
      </c>
      <c r="C303" s="766" t="s">
        <v>406</v>
      </c>
      <c r="D303" s="143" t="s">
        <v>1013</v>
      </c>
      <c r="E303" s="968" t="s">
        <v>237</v>
      </c>
      <c r="F303" s="969" t="s">
        <v>237</v>
      </c>
      <c r="G303" s="125">
        <v>3589.6102000000001</v>
      </c>
      <c r="H303" s="103">
        <v>18.149999999999999</v>
      </c>
      <c r="I303" s="970">
        <v>0</v>
      </c>
      <c r="J303" s="971">
        <v>0</v>
      </c>
      <c r="K303" s="556">
        <v>0</v>
      </c>
      <c r="L303" s="605">
        <f t="shared" si="25"/>
        <v>0</v>
      </c>
      <c r="M303" s="606">
        <v>3571.4602</v>
      </c>
      <c r="N303" s="559">
        <v>-3571.4602</v>
      </c>
      <c r="O303" s="559">
        <f t="shared" si="24"/>
        <v>0</v>
      </c>
      <c r="P303" s="606">
        <v>3571.4602</v>
      </c>
      <c r="Q303" s="477">
        <v>0</v>
      </c>
      <c r="R303" s="557">
        <v>0</v>
      </c>
      <c r="S303" s="201">
        <v>0</v>
      </c>
      <c r="T303" s="558">
        <v>0</v>
      </c>
      <c r="U303" s="607">
        <v>0</v>
      </c>
      <c r="V303" s="475">
        <v>0</v>
      </c>
      <c r="W303" s="475">
        <v>0</v>
      </c>
      <c r="X303" s="475">
        <v>0</v>
      </c>
      <c r="Y303" s="476">
        <v>0</v>
      </c>
      <c r="Z303" s="143" t="s">
        <v>1820</v>
      </c>
      <c r="AA303" s="143" t="s">
        <v>8</v>
      </c>
      <c r="AB303" s="764" t="s">
        <v>449</v>
      </c>
      <c r="AC303" s="186" t="s">
        <v>79</v>
      </c>
      <c r="AD303" s="187" t="s">
        <v>89</v>
      </c>
      <c r="AE303" s="984" t="s">
        <v>930</v>
      </c>
      <c r="AF303" s="969" t="s">
        <v>650</v>
      </c>
    </row>
    <row r="304" spans="1:32" ht="27" outlineLevel="1" thickBot="1" x14ac:dyDescent="0.3">
      <c r="A304" s="240" t="s">
        <v>153</v>
      </c>
      <c r="B304" s="1831" t="s">
        <v>332</v>
      </c>
      <c r="C304" s="1832" t="s">
        <v>154</v>
      </c>
      <c r="D304" s="1755" t="s">
        <v>1033</v>
      </c>
      <c r="E304" s="1675" t="s">
        <v>4</v>
      </c>
      <c r="F304" s="1676" t="s">
        <v>35</v>
      </c>
      <c r="G304" s="1833">
        <v>1030</v>
      </c>
      <c r="H304" s="1388">
        <v>0</v>
      </c>
      <c r="I304" s="1389">
        <v>1030</v>
      </c>
      <c r="J304" s="1390">
        <v>0</v>
      </c>
      <c r="K304" s="1391">
        <v>1030</v>
      </c>
      <c r="L304" s="1392">
        <f t="shared" si="25"/>
        <v>0</v>
      </c>
      <c r="M304" s="1353">
        <v>1030</v>
      </c>
      <c r="N304" s="294">
        <v>0</v>
      </c>
      <c r="O304" s="1626">
        <f t="shared" si="24"/>
        <v>1030</v>
      </c>
      <c r="P304" s="2237">
        <v>0</v>
      </c>
      <c r="Q304" s="2238">
        <v>0</v>
      </c>
      <c r="R304" s="2239">
        <v>0</v>
      </c>
      <c r="S304" s="2240">
        <v>0</v>
      </c>
      <c r="T304" s="2167">
        <v>0</v>
      </c>
      <c r="U304" s="1550">
        <v>0</v>
      </c>
      <c r="V304" s="2168">
        <v>0</v>
      </c>
      <c r="W304" s="2168">
        <v>0</v>
      </c>
      <c r="X304" s="2168">
        <v>0</v>
      </c>
      <c r="Y304" s="2190">
        <v>0</v>
      </c>
      <c r="Z304" s="2241" t="s">
        <v>72</v>
      </c>
      <c r="AA304" s="2241" t="s">
        <v>83</v>
      </c>
      <c r="AB304" s="2242" t="s">
        <v>986</v>
      </c>
      <c r="AC304" s="2034" t="s">
        <v>80</v>
      </c>
      <c r="AD304" s="2136" t="s">
        <v>89</v>
      </c>
      <c r="AE304" s="1674" t="s">
        <v>181</v>
      </c>
      <c r="AF304" s="1655" t="s">
        <v>650</v>
      </c>
    </row>
    <row r="305" spans="1:32" ht="31.2" outlineLevel="1" x14ac:dyDescent="0.25">
      <c r="A305" s="446" t="s">
        <v>198</v>
      </c>
      <c r="B305" s="447" t="s">
        <v>333</v>
      </c>
      <c r="C305" s="448" t="s">
        <v>255</v>
      </c>
      <c r="D305" s="40" t="s">
        <v>228</v>
      </c>
      <c r="E305" s="947" t="s">
        <v>199</v>
      </c>
      <c r="F305" s="948" t="s">
        <v>199</v>
      </c>
      <c r="G305" s="44">
        <f>7260+150</f>
        <v>7410</v>
      </c>
      <c r="H305" s="81">
        <v>7084.81628</v>
      </c>
      <c r="I305" s="949">
        <v>0</v>
      </c>
      <c r="J305" s="950">
        <v>0</v>
      </c>
      <c r="K305" s="449">
        <v>0</v>
      </c>
      <c r="L305" s="450">
        <f t="shared" si="25"/>
        <v>0</v>
      </c>
      <c r="M305" s="135">
        <v>0</v>
      </c>
      <c r="N305" s="622">
        <v>0</v>
      </c>
      <c r="O305" s="622">
        <f t="shared" si="24"/>
        <v>0</v>
      </c>
      <c r="P305" s="55">
        <v>0</v>
      </c>
      <c r="Q305" s="48">
        <v>325.18371999999999</v>
      </c>
      <c r="R305" s="90">
        <v>0</v>
      </c>
      <c r="S305" s="91">
        <v>0</v>
      </c>
      <c r="T305" s="451">
        <v>0</v>
      </c>
      <c r="U305" s="453">
        <v>0</v>
      </c>
      <c r="V305" s="454">
        <v>0</v>
      </c>
      <c r="W305" s="454">
        <v>0</v>
      </c>
      <c r="X305" s="454">
        <v>0</v>
      </c>
      <c r="Y305" s="392">
        <v>0</v>
      </c>
      <c r="Z305" s="40" t="s">
        <v>1821</v>
      </c>
      <c r="AA305" s="40" t="s">
        <v>10</v>
      </c>
      <c r="AB305" s="876" t="s">
        <v>591</v>
      </c>
      <c r="AC305" s="456" t="s">
        <v>80</v>
      </c>
      <c r="AD305" s="114" t="s">
        <v>89</v>
      </c>
      <c r="AE305" s="948" t="s">
        <v>560</v>
      </c>
      <c r="AF305" s="948" t="s">
        <v>650</v>
      </c>
    </row>
    <row r="306" spans="1:32" ht="47.4" outlineLevel="1" thickBot="1" x14ac:dyDescent="0.3">
      <c r="A306" s="439" t="s">
        <v>200</v>
      </c>
      <c r="B306" s="1834" t="s">
        <v>75</v>
      </c>
      <c r="C306" s="1835" t="s">
        <v>383</v>
      </c>
      <c r="D306" s="78" t="s">
        <v>228</v>
      </c>
      <c r="E306" s="164" t="s">
        <v>111</v>
      </c>
      <c r="F306" s="203" t="s">
        <v>111</v>
      </c>
      <c r="G306" s="1836">
        <v>15000</v>
      </c>
      <c r="H306" s="1393">
        <v>0</v>
      </c>
      <c r="I306" s="1394">
        <v>0</v>
      </c>
      <c r="J306" s="1395">
        <v>0</v>
      </c>
      <c r="K306" s="1396">
        <v>0</v>
      </c>
      <c r="L306" s="1397">
        <f t="shared" si="25"/>
        <v>1000</v>
      </c>
      <c r="M306" s="1345">
        <v>1000</v>
      </c>
      <c r="N306" s="440">
        <v>0</v>
      </c>
      <c r="O306" s="1793">
        <f t="shared" si="24"/>
        <v>1000</v>
      </c>
      <c r="P306" s="2243">
        <v>14000</v>
      </c>
      <c r="Q306" s="2244">
        <v>0</v>
      </c>
      <c r="R306" s="2185">
        <v>0</v>
      </c>
      <c r="S306" s="2186">
        <v>0</v>
      </c>
      <c r="T306" s="2245">
        <v>0</v>
      </c>
      <c r="U306" s="1539">
        <v>0</v>
      </c>
      <c r="V306" s="2182">
        <v>0</v>
      </c>
      <c r="W306" s="2182">
        <v>0</v>
      </c>
      <c r="X306" s="2182">
        <v>0</v>
      </c>
      <c r="Y306" s="2184">
        <v>0</v>
      </c>
      <c r="Z306" s="78" t="s">
        <v>72</v>
      </c>
      <c r="AA306" s="1949" t="s">
        <v>8</v>
      </c>
      <c r="AB306" s="2246" t="s">
        <v>1073</v>
      </c>
      <c r="AC306" s="2042" t="s">
        <v>79</v>
      </c>
      <c r="AD306" s="20" t="s">
        <v>90</v>
      </c>
      <c r="AE306" s="2247" t="s">
        <v>167</v>
      </c>
      <c r="AF306" s="2248" t="s">
        <v>653</v>
      </c>
    </row>
    <row r="307" spans="1:32" ht="31.8" outlineLevel="1" thickBot="1" x14ac:dyDescent="0.3">
      <c r="A307" s="296" t="s">
        <v>239</v>
      </c>
      <c r="B307" s="1837" t="s">
        <v>334</v>
      </c>
      <c r="C307" s="1832" t="s">
        <v>238</v>
      </c>
      <c r="D307" s="1674" t="s">
        <v>1034</v>
      </c>
      <c r="E307" s="1675" t="s">
        <v>237</v>
      </c>
      <c r="F307" s="1676" t="s">
        <v>237</v>
      </c>
      <c r="G307" s="1833">
        <f>8281+665.29819</f>
        <v>8946.2981899999995</v>
      </c>
      <c r="H307" s="1388">
        <v>7949.6821</v>
      </c>
      <c r="I307" s="1389">
        <v>996.61608999999999</v>
      </c>
      <c r="J307" s="1390">
        <v>0</v>
      </c>
      <c r="K307" s="1391">
        <v>996.61608999999999</v>
      </c>
      <c r="L307" s="1392">
        <f t="shared" si="25"/>
        <v>9.0949470177292824E-13</v>
      </c>
      <c r="M307" s="1353">
        <v>996.6160900000009</v>
      </c>
      <c r="N307" s="436">
        <v>0</v>
      </c>
      <c r="O307" s="2249">
        <f t="shared" si="24"/>
        <v>996.6160900000009</v>
      </c>
      <c r="P307" s="2237">
        <v>0</v>
      </c>
      <c r="Q307" s="2238">
        <v>0</v>
      </c>
      <c r="R307" s="2239">
        <v>0</v>
      </c>
      <c r="S307" s="2240">
        <v>0</v>
      </c>
      <c r="T307" s="2250">
        <v>0</v>
      </c>
      <c r="U307" s="1550">
        <v>0</v>
      </c>
      <c r="V307" s="2168">
        <v>0</v>
      </c>
      <c r="W307" s="2168">
        <v>0</v>
      </c>
      <c r="X307" s="2168">
        <v>0</v>
      </c>
      <c r="Y307" s="2190">
        <v>0</v>
      </c>
      <c r="Z307" s="2251" t="s">
        <v>72</v>
      </c>
      <c r="AA307" s="2241" t="s">
        <v>83</v>
      </c>
      <c r="AB307" s="2242" t="s">
        <v>409</v>
      </c>
      <c r="AC307" s="2034" t="s">
        <v>80</v>
      </c>
      <c r="AD307" s="2252" t="s">
        <v>89</v>
      </c>
      <c r="AE307" s="2253" t="s">
        <v>173</v>
      </c>
      <c r="AF307" s="2254" t="s">
        <v>650</v>
      </c>
    </row>
    <row r="308" spans="1:32" ht="27" outlineLevel="1" thickBot="1" x14ac:dyDescent="0.3">
      <c r="A308" s="444" t="s">
        <v>243</v>
      </c>
      <c r="B308" s="159" t="s">
        <v>352</v>
      </c>
      <c r="C308" s="1838" t="s">
        <v>547</v>
      </c>
      <c r="D308" s="1839" t="s">
        <v>1026</v>
      </c>
      <c r="E308" s="1840" t="s">
        <v>34</v>
      </c>
      <c r="F308" s="1841" t="s">
        <v>34</v>
      </c>
      <c r="G308" s="1842">
        <f>17235.549-1287.82372</f>
        <v>15947.725279999999</v>
      </c>
      <c r="H308" s="1398">
        <v>15895.07128</v>
      </c>
      <c r="I308" s="1399">
        <v>52.654000000000003</v>
      </c>
      <c r="J308" s="1400">
        <v>0</v>
      </c>
      <c r="K308" s="1401">
        <v>52.654000000000003</v>
      </c>
      <c r="L308" s="1402">
        <f t="shared" si="25"/>
        <v>-1.1439738045737613E-12</v>
      </c>
      <c r="M308" s="1403">
        <v>52.653999999998859</v>
      </c>
      <c r="N308" s="324">
        <v>0</v>
      </c>
      <c r="O308" s="2255">
        <f t="shared" si="24"/>
        <v>52.653999999998859</v>
      </c>
      <c r="P308" s="2256">
        <v>0</v>
      </c>
      <c r="Q308" s="2257">
        <v>0</v>
      </c>
      <c r="R308" s="2258">
        <v>0</v>
      </c>
      <c r="S308" s="2259">
        <v>0</v>
      </c>
      <c r="T308" s="2260">
        <v>0</v>
      </c>
      <c r="U308" s="1583">
        <v>0</v>
      </c>
      <c r="V308" s="1585">
        <v>0</v>
      </c>
      <c r="W308" s="1585">
        <v>0</v>
      </c>
      <c r="X308" s="1585">
        <v>0</v>
      </c>
      <c r="Y308" s="2261">
        <v>0</v>
      </c>
      <c r="Z308" s="1839" t="s">
        <v>72</v>
      </c>
      <c r="AA308" s="2262" t="s">
        <v>83</v>
      </c>
      <c r="AB308" s="2242" t="s">
        <v>409</v>
      </c>
      <c r="AC308" s="2263" t="s">
        <v>80</v>
      </c>
      <c r="AD308" s="1839" t="s">
        <v>89</v>
      </c>
      <c r="AE308" s="2264" t="s">
        <v>167</v>
      </c>
      <c r="AF308" s="1841" t="s">
        <v>652</v>
      </c>
    </row>
    <row r="309" spans="1:32" ht="31.8" outlineLevel="1" thickBot="1" x14ac:dyDescent="0.3">
      <c r="A309" s="34" t="s">
        <v>256</v>
      </c>
      <c r="B309" s="1831" t="s">
        <v>335</v>
      </c>
      <c r="C309" s="1843" t="s">
        <v>257</v>
      </c>
      <c r="D309" s="1674" t="s">
        <v>1027</v>
      </c>
      <c r="E309" s="1844" t="s">
        <v>35</v>
      </c>
      <c r="F309" s="1845" t="s">
        <v>35</v>
      </c>
      <c r="G309" s="1842">
        <v>1907.9710700000001</v>
      </c>
      <c r="H309" s="1398">
        <v>1745.9860699999999</v>
      </c>
      <c r="I309" s="1399">
        <v>161.98500000000001</v>
      </c>
      <c r="J309" s="1400">
        <v>0</v>
      </c>
      <c r="K309" s="1401">
        <v>161.98500000000001</v>
      </c>
      <c r="L309" s="1402">
        <f t="shared" si="25"/>
        <v>0</v>
      </c>
      <c r="M309" s="1403">
        <v>161.98500000000001</v>
      </c>
      <c r="N309" s="324">
        <v>0</v>
      </c>
      <c r="O309" s="2255">
        <f t="shared" si="24"/>
        <v>161.98500000000001</v>
      </c>
      <c r="P309" s="2256">
        <v>0</v>
      </c>
      <c r="Q309" s="2257">
        <v>0</v>
      </c>
      <c r="R309" s="2258">
        <v>0</v>
      </c>
      <c r="S309" s="2259">
        <v>0</v>
      </c>
      <c r="T309" s="2260">
        <v>0</v>
      </c>
      <c r="U309" s="1583">
        <v>0</v>
      </c>
      <c r="V309" s="1585">
        <v>0</v>
      </c>
      <c r="W309" s="1585">
        <v>0</v>
      </c>
      <c r="X309" s="1585">
        <v>0</v>
      </c>
      <c r="Y309" s="2261">
        <v>0</v>
      </c>
      <c r="Z309" s="1755" t="s">
        <v>72</v>
      </c>
      <c r="AA309" s="2265" t="s">
        <v>83</v>
      </c>
      <c r="AB309" s="2266" t="s">
        <v>677</v>
      </c>
      <c r="AC309" s="2267" t="s">
        <v>80</v>
      </c>
      <c r="AD309" s="2136" t="s">
        <v>89</v>
      </c>
      <c r="AE309" s="2268" t="s">
        <v>181</v>
      </c>
      <c r="AF309" s="2268" t="s">
        <v>650</v>
      </c>
    </row>
    <row r="310" spans="1:32" ht="46.8" outlineLevel="1" x14ac:dyDescent="0.25">
      <c r="A310" s="328" t="s">
        <v>385</v>
      </c>
      <c r="B310" s="1846" t="s">
        <v>643</v>
      </c>
      <c r="C310" s="1847" t="s">
        <v>407</v>
      </c>
      <c r="D310" s="1742" t="s">
        <v>1693</v>
      </c>
      <c r="E310" s="1848" t="s">
        <v>30</v>
      </c>
      <c r="F310" s="1849" t="s">
        <v>30</v>
      </c>
      <c r="G310" s="1850">
        <v>2939.87871</v>
      </c>
      <c r="H310" s="1404">
        <v>1793.9469999999999</v>
      </c>
      <c r="I310" s="1405">
        <v>1145.9317100000001</v>
      </c>
      <c r="J310" s="1406">
        <v>0</v>
      </c>
      <c r="K310" s="1407">
        <v>1145.9317100000001</v>
      </c>
      <c r="L310" s="1408">
        <f t="shared" si="25"/>
        <v>0</v>
      </c>
      <c r="M310" s="1409">
        <v>1145.9317100000001</v>
      </c>
      <c r="N310" s="329">
        <v>0</v>
      </c>
      <c r="O310" s="2269">
        <f t="shared" si="24"/>
        <v>1145.9317100000001</v>
      </c>
      <c r="P310" s="2270">
        <v>0</v>
      </c>
      <c r="Q310" s="2271">
        <v>0</v>
      </c>
      <c r="R310" s="2272">
        <v>0</v>
      </c>
      <c r="S310" s="2273">
        <v>0</v>
      </c>
      <c r="T310" s="2274">
        <v>0</v>
      </c>
      <c r="U310" s="2275">
        <v>0</v>
      </c>
      <c r="V310" s="2276">
        <v>0</v>
      </c>
      <c r="W310" s="2276">
        <v>0</v>
      </c>
      <c r="X310" s="2276">
        <v>0</v>
      </c>
      <c r="Y310" s="2277">
        <v>0</v>
      </c>
      <c r="Z310" s="1874" t="s">
        <v>72</v>
      </c>
      <c r="AA310" s="2278" t="s">
        <v>83</v>
      </c>
      <c r="AB310" s="2279" t="s">
        <v>986</v>
      </c>
      <c r="AC310" s="2280" t="s">
        <v>80</v>
      </c>
      <c r="AD310" s="2281" t="s">
        <v>89</v>
      </c>
      <c r="AE310" s="1849" t="s">
        <v>175</v>
      </c>
      <c r="AF310" s="1849" t="s">
        <v>650</v>
      </c>
    </row>
    <row r="311" spans="1:32" ht="31.2" outlineLevel="1" x14ac:dyDescent="0.25">
      <c r="A311" s="258" t="s">
        <v>386</v>
      </c>
      <c r="B311" s="1851" t="s">
        <v>562</v>
      </c>
      <c r="C311" s="1852" t="s">
        <v>387</v>
      </c>
      <c r="D311" s="1707" t="s">
        <v>1693</v>
      </c>
      <c r="E311" s="1853" t="s">
        <v>30</v>
      </c>
      <c r="F311" s="1854" t="s">
        <v>30</v>
      </c>
      <c r="G311" s="1855">
        <v>210.74799999999999</v>
      </c>
      <c r="H311" s="1410">
        <v>210.74799999999999</v>
      </c>
      <c r="I311" s="1411">
        <v>0</v>
      </c>
      <c r="J311" s="1412">
        <v>0</v>
      </c>
      <c r="K311" s="1413">
        <v>0</v>
      </c>
      <c r="L311" s="1414">
        <f t="shared" si="25"/>
        <v>0</v>
      </c>
      <c r="M311" s="1415">
        <v>29.25200000000001</v>
      </c>
      <c r="N311" s="259">
        <v>-29.251999999999999</v>
      </c>
      <c r="O311" s="2282">
        <f t="shared" si="24"/>
        <v>0</v>
      </c>
      <c r="P311" s="2283">
        <v>0</v>
      </c>
      <c r="Q311" s="2284">
        <v>0</v>
      </c>
      <c r="R311" s="2285">
        <v>0</v>
      </c>
      <c r="S311" s="2286">
        <v>0</v>
      </c>
      <c r="T311" s="2287">
        <v>0</v>
      </c>
      <c r="U311" s="2288">
        <v>0</v>
      </c>
      <c r="V311" s="2289">
        <v>0</v>
      </c>
      <c r="W311" s="2289">
        <v>0</v>
      </c>
      <c r="X311" s="2289">
        <v>0</v>
      </c>
      <c r="Y311" s="2290">
        <v>0</v>
      </c>
      <c r="Z311" s="1803" t="s">
        <v>672</v>
      </c>
      <c r="AA311" s="2291" t="s">
        <v>83</v>
      </c>
      <c r="AB311" s="2292" t="s">
        <v>533</v>
      </c>
      <c r="AC311" s="2293" t="s">
        <v>80</v>
      </c>
      <c r="AD311" s="2294" t="s">
        <v>90</v>
      </c>
      <c r="AE311" s="1854" t="s">
        <v>175</v>
      </c>
      <c r="AF311" s="1854" t="s">
        <v>650</v>
      </c>
    </row>
    <row r="312" spans="1:32" ht="26.4" outlineLevel="1" x14ac:dyDescent="0.25">
      <c r="A312" s="378" t="s">
        <v>389</v>
      </c>
      <c r="B312" s="1856" t="s">
        <v>75</v>
      </c>
      <c r="C312" s="1857" t="s">
        <v>390</v>
      </c>
      <c r="D312" s="1642" t="s">
        <v>1693</v>
      </c>
      <c r="E312" s="1630" t="s">
        <v>284</v>
      </c>
      <c r="F312" s="1631" t="s">
        <v>284</v>
      </c>
      <c r="G312" s="1858">
        <v>100</v>
      </c>
      <c r="H312" s="1416">
        <v>0</v>
      </c>
      <c r="I312" s="1417">
        <v>0</v>
      </c>
      <c r="J312" s="1418">
        <v>0</v>
      </c>
      <c r="K312" s="1419">
        <v>0</v>
      </c>
      <c r="L312" s="1420">
        <f t="shared" si="25"/>
        <v>0</v>
      </c>
      <c r="M312" s="1341">
        <v>0</v>
      </c>
      <c r="N312" s="235">
        <v>0</v>
      </c>
      <c r="O312" s="1488">
        <f t="shared" si="24"/>
        <v>0</v>
      </c>
      <c r="P312" s="2295">
        <v>100</v>
      </c>
      <c r="Q312" s="2296">
        <v>0</v>
      </c>
      <c r="R312" s="2178">
        <v>0</v>
      </c>
      <c r="S312" s="2179">
        <v>0</v>
      </c>
      <c r="T312" s="2180">
        <v>0</v>
      </c>
      <c r="U312" s="1572">
        <v>0</v>
      </c>
      <c r="V312" s="1574">
        <v>0</v>
      </c>
      <c r="W312" s="1574">
        <v>0</v>
      </c>
      <c r="X312" s="1574">
        <v>0</v>
      </c>
      <c r="Y312" s="1607">
        <v>0</v>
      </c>
      <c r="Z312" s="1629" t="s">
        <v>72</v>
      </c>
      <c r="AA312" s="2297" t="s">
        <v>8</v>
      </c>
      <c r="AB312" s="2298" t="s">
        <v>1390</v>
      </c>
      <c r="AC312" s="2299" t="s">
        <v>79</v>
      </c>
      <c r="AD312" s="1986" t="s">
        <v>90</v>
      </c>
      <c r="AE312" s="1631" t="s">
        <v>184</v>
      </c>
      <c r="AF312" s="1631" t="s">
        <v>652</v>
      </c>
    </row>
    <row r="313" spans="1:32" ht="31.8" outlineLevel="1" thickBot="1" x14ac:dyDescent="0.3">
      <c r="A313" s="402" t="s">
        <v>391</v>
      </c>
      <c r="B313" s="1859" t="s">
        <v>639</v>
      </c>
      <c r="C313" s="1860" t="s">
        <v>392</v>
      </c>
      <c r="D313" s="1648" t="s">
        <v>1693</v>
      </c>
      <c r="E313" s="1861" t="s">
        <v>27</v>
      </c>
      <c r="F313" s="1650" t="s">
        <v>27</v>
      </c>
      <c r="G313" s="1862">
        <v>264.22901000000002</v>
      </c>
      <c r="H313" s="1421">
        <v>264.22901000000002</v>
      </c>
      <c r="I313" s="1422">
        <v>0</v>
      </c>
      <c r="J313" s="1423">
        <v>0</v>
      </c>
      <c r="K313" s="1424">
        <v>0</v>
      </c>
      <c r="L313" s="1425">
        <f t="shared" si="25"/>
        <v>0</v>
      </c>
      <c r="M313" s="1426">
        <v>75.770989999999983</v>
      </c>
      <c r="N313" s="403">
        <v>-75.770989999999998</v>
      </c>
      <c r="O313" s="2300">
        <f t="shared" si="24"/>
        <v>0</v>
      </c>
      <c r="P313" s="2301">
        <v>0</v>
      </c>
      <c r="Q313" s="2302">
        <v>0</v>
      </c>
      <c r="R313" s="2303">
        <v>0</v>
      </c>
      <c r="S313" s="2304">
        <v>0</v>
      </c>
      <c r="T313" s="2305">
        <v>0</v>
      </c>
      <c r="U313" s="2306">
        <v>0</v>
      </c>
      <c r="V313" s="2307">
        <v>0</v>
      </c>
      <c r="W313" s="2307">
        <v>0</v>
      </c>
      <c r="X313" s="2307">
        <v>0</v>
      </c>
      <c r="Y313" s="2308">
        <v>0</v>
      </c>
      <c r="Z313" s="1648" t="s">
        <v>1822</v>
      </c>
      <c r="AA313" s="2309" t="s">
        <v>83</v>
      </c>
      <c r="AB313" s="2310" t="s">
        <v>747</v>
      </c>
      <c r="AC313" s="2311" t="s">
        <v>80</v>
      </c>
      <c r="AD313" s="2012" t="s">
        <v>89</v>
      </c>
      <c r="AE313" s="1650" t="s">
        <v>166</v>
      </c>
      <c r="AF313" s="1650" t="s">
        <v>650</v>
      </c>
    </row>
    <row r="314" spans="1:32" ht="26.4" outlineLevel="1" x14ac:dyDescent="0.25">
      <c r="A314" s="877" t="s">
        <v>408</v>
      </c>
      <c r="B314" s="878" t="s">
        <v>75</v>
      </c>
      <c r="C314" s="448" t="s">
        <v>743</v>
      </c>
      <c r="D314" s="40" t="s">
        <v>945</v>
      </c>
      <c r="E314" s="947" t="s">
        <v>261</v>
      </c>
      <c r="F314" s="948" t="s">
        <v>261</v>
      </c>
      <c r="G314" s="89">
        <v>96000</v>
      </c>
      <c r="H314" s="879">
        <v>0</v>
      </c>
      <c r="I314" s="987">
        <v>0</v>
      </c>
      <c r="J314" s="988">
        <v>0</v>
      </c>
      <c r="K314" s="880">
        <v>0</v>
      </c>
      <c r="L314" s="881">
        <f t="shared" si="25"/>
        <v>86.8</v>
      </c>
      <c r="M314" s="688">
        <v>86.8</v>
      </c>
      <c r="N314" s="676">
        <v>0</v>
      </c>
      <c r="O314" s="676">
        <f t="shared" si="24"/>
        <v>86.8</v>
      </c>
      <c r="P314" s="61">
        <v>5000</v>
      </c>
      <c r="Q314" s="58">
        <v>90913.2</v>
      </c>
      <c r="R314" s="741">
        <v>0</v>
      </c>
      <c r="S314" s="742">
        <v>0</v>
      </c>
      <c r="T314" s="743">
        <v>0</v>
      </c>
      <c r="U314" s="619">
        <v>0</v>
      </c>
      <c r="V314" s="690">
        <v>0</v>
      </c>
      <c r="W314" s="690">
        <v>0</v>
      </c>
      <c r="X314" s="690">
        <v>0</v>
      </c>
      <c r="Y314" s="691">
        <v>0</v>
      </c>
      <c r="Z314" s="40" t="s">
        <v>1823</v>
      </c>
      <c r="AA314" s="39" t="s">
        <v>8</v>
      </c>
      <c r="AB314" s="882" t="s">
        <v>1316</v>
      </c>
      <c r="AC314" s="623" t="s">
        <v>79</v>
      </c>
      <c r="AD314" s="114" t="s">
        <v>88</v>
      </c>
      <c r="AE314" s="948" t="s">
        <v>183</v>
      </c>
      <c r="AF314" s="948" t="s">
        <v>650</v>
      </c>
    </row>
    <row r="315" spans="1:32" ht="31.2" outlineLevel="1" x14ac:dyDescent="0.25">
      <c r="A315" s="256" t="s">
        <v>410</v>
      </c>
      <c r="B315" s="1863" t="s">
        <v>1493</v>
      </c>
      <c r="C315" s="1864" t="s">
        <v>411</v>
      </c>
      <c r="D315" s="1814" t="s">
        <v>945</v>
      </c>
      <c r="E315" s="1865" t="s">
        <v>35</v>
      </c>
      <c r="F315" s="1866" t="s">
        <v>35</v>
      </c>
      <c r="G315" s="1867">
        <v>790.53399999999999</v>
      </c>
      <c r="H315" s="1427">
        <v>0</v>
      </c>
      <c r="I315" s="1428">
        <v>790.53399999999999</v>
      </c>
      <c r="J315" s="1429">
        <v>0</v>
      </c>
      <c r="K315" s="1430">
        <v>790.53399999999999</v>
      </c>
      <c r="L315" s="1431">
        <f t="shared" si="25"/>
        <v>0</v>
      </c>
      <c r="M315" s="1432">
        <v>790.53399999999999</v>
      </c>
      <c r="N315" s="257">
        <v>0</v>
      </c>
      <c r="O315" s="2312">
        <f t="shared" si="24"/>
        <v>790.53399999999999</v>
      </c>
      <c r="P315" s="2313">
        <v>0</v>
      </c>
      <c r="Q315" s="2314">
        <v>0</v>
      </c>
      <c r="R315" s="2315">
        <v>0</v>
      </c>
      <c r="S315" s="2316">
        <v>0</v>
      </c>
      <c r="T315" s="2317">
        <v>0</v>
      </c>
      <c r="U315" s="2318">
        <v>0</v>
      </c>
      <c r="V315" s="2319">
        <v>0</v>
      </c>
      <c r="W315" s="2319">
        <v>0</v>
      </c>
      <c r="X315" s="1592">
        <v>0</v>
      </c>
      <c r="Y315" s="1605">
        <v>0</v>
      </c>
      <c r="Z315" s="1814" t="s">
        <v>72</v>
      </c>
      <c r="AA315" s="2320" t="s">
        <v>83</v>
      </c>
      <c r="AB315" s="2321" t="s">
        <v>409</v>
      </c>
      <c r="AC315" s="2322" t="s">
        <v>80</v>
      </c>
      <c r="AD315" s="2323" t="s">
        <v>90</v>
      </c>
      <c r="AE315" s="1866" t="s">
        <v>181</v>
      </c>
      <c r="AF315" s="1866" t="s">
        <v>650</v>
      </c>
    </row>
    <row r="316" spans="1:32" ht="31.2" outlineLevel="1" x14ac:dyDescent="0.25">
      <c r="A316" s="884" t="s">
        <v>412</v>
      </c>
      <c r="B316" s="1868" t="s">
        <v>75</v>
      </c>
      <c r="C316" s="1869" t="s">
        <v>413</v>
      </c>
      <c r="D316" s="1870" t="s">
        <v>945</v>
      </c>
      <c r="E316" s="1871" t="s">
        <v>35</v>
      </c>
      <c r="F316" s="1872" t="s">
        <v>35</v>
      </c>
      <c r="G316" s="1873">
        <v>1000</v>
      </c>
      <c r="H316" s="1433">
        <v>0</v>
      </c>
      <c r="I316" s="1434">
        <v>0</v>
      </c>
      <c r="J316" s="1435">
        <v>0</v>
      </c>
      <c r="K316" s="1436">
        <v>0</v>
      </c>
      <c r="L316" s="1437">
        <f t="shared" si="25"/>
        <v>0</v>
      </c>
      <c r="M316" s="1438">
        <v>0</v>
      </c>
      <c r="N316" s="885">
        <v>0</v>
      </c>
      <c r="O316" s="2324">
        <f t="shared" si="24"/>
        <v>0</v>
      </c>
      <c r="P316" s="2325">
        <v>1000</v>
      </c>
      <c r="Q316" s="2326">
        <v>0</v>
      </c>
      <c r="R316" s="2327">
        <v>0</v>
      </c>
      <c r="S316" s="2328">
        <v>0</v>
      </c>
      <c r="T316" s="2329">
        <v>0</v>
      </c>
      <c r="U316" s="2330">
        <v>0</v>
      </c>
      <c r="V316" s="2331">
        <v>0</v>
      </c>
      <c r="W316" s="2331">
        <v>0</v>
      </c>
      <c r="X316" s="1604">
        <v>0</v>
      </c>
      <c r="Y316" s="2332">
        <v>0</v>
      </c>
      <c r="Z316" s="1870" t="s">
        <v>1824</v>
      </c>
      <c r="AA316" s="2333" t="s">
        <v>8</v>
      </c>
      <c r="AB316" s="2334" t="s">
        <v>1236</v>
      </c>
      <c r="AC316" s="2335" t="s">
        <v>79</v>
      </c>
      <c r="AD316" s="2336" t="s">
        <v>90</v>
      </c>
      <c r="AE316" s="1872" t="s">
        <v>181</v>
      </c>
      <c r="AF316" s="1872" t="s">
        <v>650</v>
      </c>
    </row>
    <row r="317" spans="1:32" ht="31.2" outlineLevel="1" x14ac:dyDescent="0.25">
      <c r="A317" s="256" t="s">
        <v>414</v>
      </c>
      <c r="B317" s="1863" t="s">
        <v>644</v>
      </c>
      <c r="C317" s="1864" t="s">
        <v>415</v>
      </c>
      <c r="D317" s="1814" t="s">
        <v>945</v>
      </c>
      <c r="E317" s="1865" t="s">
        <v>28</v>
      </c>
      <c r="F317" s="1866" t="s">
        <v>28</v>
      </c>
      <c r="G317" s="1867">
        <v>1963.29503</v>
      </c>
      <c r="H317" s="1427">
        <v>228.21998000000002</v>
      </c>
      <c r="I317" s="1428">
        <v>1735.0750499999999</v>
      </c>
      <c r="J317" s="1429">
        <v>0</v>
      </c>
      <c r="K317" s="1430">
        <v>1735.0750499999999</v>
      </c>
      <c r="L317" s="1431">
        <f t="shared" si="25"/>
        <v>0</v>
      </c>
      <c r="M317" s="1432">
        <v>1735.0750499999999</v>
      </c>
      <c r="N317" s="257">
        <v>0</v>
      </c>
      <c r="O317" s="2312">
        <f t="shared" si="24"/>
        <v>1735.0750499999999</v>
      </c>
      <c r="P317" s="2313">
        <v>0</v>
      </c>
      <c r="Q317" s="2314">
        <v>0</v>
      </c>
      <c r="R317" s="2315">
        <v>0</v>
      </c>
      <c r="S317" s="2316">
        <v>0</v>
      </c>
      <c r="T317" s="2317">
        <v>0</v>
      </c>
      <c r="U317" s="2318">
        <v>0</v>
      </c>
      <c r="V317" s="2319">
        <v>0</v>
      </c>
      <c r="W317" s="2319">
        <v>0</v>
      </c>
      <c r="X317" s="1592">
        <v>0</v>
      </c>
      <c r="Y317" s="1605">
        <v>0</v>
      </c>
      <c r="Z317" s="1814" t="s">
        <v>72</v>
      </c>
      <c r="AA317" s="2320" t="s">
        <v>83</v>
      </c>
      <c r="AB317" s="2321" t="s">
        <v>409</v>
      </c>
      <c r="AC317" s="2322" t="s">
        <v>80</v>
      </c>
      <c r="AD317" s="2323" t="s">
        <v>89</v>
      </c>
      <c r="AE317" s="1866" t="s">
        <v>172</v>
      </c>
      <c r="AF317" s="1866" t="s">
        <v>650</v>
      </c>
    </row>
    <row r="318" spans="1:32" ht="31.2" outlineLevel="1" x14ac:dyDescent="0.25">
      <c r="A318" s="256" t="s">
        <v>416</v>
      </c>
      <c r="B318" s="1863" t="s">
        <v>634</v>
      </c>
      <c r="C318" s="1864" t="s">
        <v>417</v>
      </c>
      <c r="D318" s="1814" t="s">
        <v>945</v>
      </c>
      <c r="E318" s="1865" t="s">
        <v>28</v>
      </c>
      <c r="F318" s="1866" t="s">
        <v>28</v>
      </c>
      <c r="G318" s="1867">
        <f>H318+I318</f>
        <v>7898.4549299999999</v>
      </c>
      <c r="H318" s="1427">
        <v>3738.9749400000001</v>
      </c>
      <c r="I318" s="1428">
        <v>4159.4799899999998</v>
      </c>
      <c r="J318" s="1429">
        <v>0</v>
      </c>
      <c r="K318" s="1430">
        <v>4159.4799899999998</v>
      </c>
      <c r="L318" s="1431">
        <f t="shared" si="25"/>
        <v>0</v>
      </c>
      <c r="M318" s="1432">
        <v>4159.4799899999998</v>
      </c>
      <c r="N318" s="257">
        <v>0</v>
      </c>
      <c r="O318" s="2312">
        <f t="shared" si="24"/>
        <v>4159.4799899999998</v>
      </c>
      <c r="P318" s="2313">
        <v>0</v>
      </c>
      <c r="Q318" s="2314">
        <v>0</v>
      </c>
      <c r="R318" s="2315">
        <v>0</v>
      </c>
      <c r="S318" s="2316">
        <v>0</v>
      </c>
      <c r="T318" s="2317">
        <v>0</v>
      </c>
      <c r="U318" s="2318">
        <v>0</v>
      </c>
      <c r="V318" s="2319">
        <v>0</v>
      </c>
      <c r="W318" s="2319">
        <v>0</v>
      </c>
      <c r="X318" s="1592">
        <v>0</v>
      </c>
      <c r="Y318" s="1605">
        <v>0</v>
      </c>
      <c r="Z318" s="1814" t="s">
        <v>72</v>
      </c>
      <c r="AA318" s="2320" t="s">
        <v>83</v>
      </c>
      <c r="AB318" s="2321" t="s">
        <v>528</v>
      </c>
      <c r="AC318" s="2322" t="s">
        <v>80</v>
      </c>
      <c r="AD318" s="2323" t="s">
        <v>89</v>
      </c>
      <c r="AE318" s="1866" t="s">
        <v>172</v>
      </c>
      <c r="AF318" s="1866" t="s">
        <v>650</v>
      </c>
    </row>
    <row r="319" spans="1:32" ht="31.8" outlineLevel="1" thickBot="1" x14ac:dyDescent="0.3">
      <c r="A319" s="402" t="s">
        <v>418</v>
      </c>
      <c r="B319" s="1859" t="s">
        <v>645</v>
      </c>
      <c r="C319" s="1860" t="s">
        <v>419</v>
      </c>
      <c r="D319" s="1648" t="s">
        <v>945</v>
      </c>
      <c r="E319" s="1861" t="s">
        <v>259</v>
      </c>
      <c r="F319" s="1650" t="s">
        <v>259</v>
      </c>
      <c r="G319" s="1862">
        <v>691.85</v>
      </c>
      <c r="H319" s="1421">
        <v>691.85</v>
      </c>
      <c r="I319" s="1422">
        <v>0</v>
      </c>
      <c r="J319" s="1423">
        <v>0</v>
      </c>
      <c r="K319" s="1424">
        <v>0</v>
      </c>
      <c r="L319" s="1425">
        <f t="shared" si="25"/>
        <v>0</v>
      </c>
      <c r="M319" s="1426">
        <v>2208.15</v>
      </c>
      <c r="N319" s="403">
        <v>-2208.15</v>
      </c>
      <c r="O319" s="2300">
        <f t="shared" si="24"/>
        <v>0</v>
      </c>
      <c r="P319" s="2337">
        <v>0</v>
      </c>
      <c r="Q319" s="2302">
        <v>0</v>
      </c>
      <c r="R319" s="2303">
        <v>0</v>
      </c>
      <c r="S319" s="2304">
        <v>0</v>
      </c>
      <c r="T319" s="2305">
        <v>0</v>
      </c>
      <c r="U319" s="2306">
        <v>0</v>
      </c>
      <c r="V319" s="2307">
        <v>0</v>
      </c>
      <c r="W319" s="2307">
        <v>0</v>
      </c>
      <c r="X319" s="2307">
        <v>0</v>
      </c>
      <c r="Y319" s="2308">
        <v>0</v>
      </c>
      <c r="Z319" s="1648" t="s">
        <v>1825</v>
      </c>
      <c r="AA319" s="2309" t="s">
        <v>83</v>
      </c>
      <c r="AB319" s="2310" t="s">
        <v>1073</v>
      </c>
      <c r="AC319" s="2311" t="s">
        <v>79</v>
      </c>
      <c r="AD319" s="2012" t="s">
        <v>89</v>
      </c>
      <c r="AE319" s="1650" t="s">
        <v>178</v>
      </c>
      <c r="AF319" s="1650" t="s">
        <v>650</v>
      </c>
    </row>
    <row r="320" spans="1:32" ht="46.8" outlineLevel="1" x14ac:dyDescent="0.25">
      <c r="A320" s="328" t="s">
        <v>462</v>
      </c>
      <c r="B320" s="1846" t="s">
        <v>640</v>
      </c>
      <c r="C320" s="1847" t="s">
        <v>463</v>
      </c>
      <c r="D320" s="1874" t="s">
        <v>1029</v>
      </c>
      <c r="E320" s="1848" t="s">
        <v>242</v>
      </c>
      <c r="F320" s="1849" t="s">
        <v>242</v>
      </c>
      <c r="G320" s="1850">
        <v>2049.7091599999999</v>
      </c>
      <c r="H320" s="1404">
        <v>1871.3811599999999</v>
      </c>
      <c r="I320" s="1405">
        <v>178.328</v>
      </c>
      <c r="J320" s="1406">
        <v>0</v>
      </c>
      <c r="K320" s="1407">
        <v>178.328</v>
      </c>
      <c r="L320" s="1408">
        <f t="shared" si="25"/>
        <v>0</v>
      </c>
      <c r="M320" s="1409">
        <v>178.32799999999997</v>
      </c>
      <c r="N320" s="329">
        <v>0</v>
      </c>
      <c r="O320" s="2269">
        <f t="shared" si="24"/>
        <v>178.32799999999997</v>
      </c>
      <c r="P320" s="2270">
        <v>0</v>
      </c>
      <c r="Q320" s="2271">
        <v>0</v>
      </c>
      <c r="R320" s="2272">
        <v>0</v>
      </c>
      <c r="S320" s="2273">
        <v>0</v>
      </c>
      <c r="T320" s="2274">
        <v>0</v>
      </c>
      <c r="U320" s="2275">
        <v>0</v>
      </c>
      <c r="V320" s="2276">
        <v>0</v>
      </c>
      <c r="W320" s="2276">
        <v>0</v>
      </c>
      <c r="X320" s="2276">
        <v>0</v>
      </c>
      <c r="Y320" s="2277">
        <v>0</v>
      </c>
      <c r="Z320" s="1874" t="s">
        <v>72</v>
      </c>
      <c r="AA320" s="2278" t="s">
        <v>83</v>
      </c>
      <c r="AB320" s="2279" t="s">
        <v>986</v>
      </c>
      <c r="AC320" s="2280" t="s">
        <v>80</v>
      </c>
      <c r="AD320" s="2281" t="s">
        <v>89</v>
      </c>
      <c r="AE320" s="1849" t="s">
        <v>174</v>
      </c>
      <c r="AF320" s="1849" t="s">
        <v>650</v>
      </c>
    </row>
    <row r="321" spans="1:32" ht="31.2" outlineLevel="1" x14ac:dyDescent="0.25">
      <c r="A321" s="377" t="s">
        <v>464</v>
      </c>
      <c r="B321" s="1875" t="s">
        <v>1228</v>
      </c>
      <c r="C321" s="1876" t="s">
        <v>548</v>
      </c>
      <c r="D321" s="1808" t="s">
        <v>1029</v>
      </c>
      <c r="E321" s="1877" t="s">
        <v>242</v>
      </c>
      <c r="F321" s="1878" t="s">
        <v>242</v>
      </c>
      <c r="G321" s="1879">
        <v>280</v>
      </c>
      <c r="H321" s="1439">
        <v>0</v>
      </c>
      <c r="I321" s="1440">
        <v>168.66561999999999</v>
      </c>
      <c r="J321" s="1441">
        <v>0</v>
      </c>
      <c r="K321" s="1442">
        <v>168.66561999999999</v>
      </c>
      <c r="L321" s="1443">
        <f t="shared" si="25"/>
        <v>111.33438000000001</v>
      </c>
      <c r="M321" s="1371">
        <v>280</v>
      </c>
      <c r="N321" s="238">
        <v>0</v>
      </c>
      <c r="O321" s="2338">
        <f t="shared" si="24"/>
        <v>280</v>
      </c>
      <c r="P321" s="2339">
        <v>0</v>
      </c>
      <c r="Q321" s="2340">
        <v>0</v>
      </c>
      <c r="R321" s="2341">
        <v>0</v>
      </c>
      <c r="S321" s="2342">
        <v>0</v>
      </c>
      <c r="T321" s="2343">
        <v>0</v>
      </c>
      <c r="U321" s="2204">
        <v>0</v>
      </c>
      <c r="V321" s="2206">
        <v>0</v>
      </c>
      <c r="W321" s="2206">
        <v>0</v>
      </c>
      <c r="X321" s="2206">
        <v>0</v>
      </c>
      <c r="Y321" s="2344">
        <v>0</v>
      </c>
      <c r="Z321" s="1808" t="s">
        <v>72</v>
      </c>
      <c r="AA321" s="2345" t="s">
        <v>10</v>
      </c>
      <c r="AB321" s="2346" t="s">
        <v>382</v>
      </c>
      <c r="AC321" s="2347" t="s">
        <v>80</v>
      </c>
      <c r="AD321" s="2104" t="s">
        <v>89</v>
      </c>
      <c r="AE321" s="1878" t="s">
        <v>174</v>
      </c>
      <c r="AF321" s="1878"/>
    </row>
    <row r="322" spans="1:32" ht="31.2" outlineLevel="1" x14ac:dyDescent="0.25">
      <c r="A322" s="256" t="s">
        <v>498</v>
      </c>
      <c r="B322" s="1880" t="s">
        <v>635</v>
      </c>
      <c r="C322" s="1864" t="s">
        <v>499</v>
      </c>
      <c r="D322" s="1687" t="s">
        <v>1029</v>
      </c>
      <c r="E322" s="1865" t="s">
        <v>258</v>
      </c>
      <c r="F322" s="1866" t="s">
        <v>258</v>
      </c>
      <c r="G322" s="1867">
        <v>3580.8120899999999</v>
      </c>
      <c r="H322" s="1427">
        <v>1960.3965600000001</v>
      </c>
      <c r="I322" s="1428">
        <v>1620.41553</v>
      </c>
      <c r="J322" s="1429">
        <v>0</v>
      </c>
      <c r="K322" s="1430">
        <v>1620.41553</v>
      </c>
      <c r="L322" s="1431">
        <f t="shared" si="25"/>
        <v>0</v>
      </c>
      <c r="M322" s="1432">
        <v>1620.4155299999998</v>
      </c>
      <c r="N322" s="257">
        <v>0</v>
      </c>
      <c r="O322" s="2312">
        <f t="shared" si="24"/>
        <v>1620.4155299999998</v>
      </c>
      <c r="P322" s="2313">
        <v>0</v>
      </c>
      <c r="Q322" s="2314">
        <v>0</v>
      </c>
      <c r="R322" s="2341">
        <v>0</v>
      </c>
      <c r="S322" s="2342">
        <v>0</v>
      </c>
      <c r="T322" s="2343">
        <v>0</v>
      </c>
      <c r="U322" s="2204">
        <v>0</v>
      </c>
      <c r="V322" s="2206">
        <v>0</v>
      </c>
      <c r="W322" s="2206">
        <v>0</v>
      </c>
      <c r="X322" s="2206">
        <v>0</v>
      </c>
      <c r="Y322" s="2344">
        <v>0</v>
      </c>
      <c r="Z322" s="1814" t="s">
        <v>72</v>
      </c>
      <c r="AA322" s="2320" t="s">
        <v>83</v>
      </c>
      <c r="AB322" s="2321" t="s">
        <v>497</v>
      </c>
      <c r="AC322" s="2322" t="s">
        <v>80</v>
      </c>
      <c r="AD322" s="2323" t="s">
        <v>89</v>
      </c>
      <c r="AE322" s="1866" t="s">
        <v>172</v>
      </c>
      <c r="AF322" s="1866" t="s">
        <v>650</v>
      </c>
    </row>
    <row r="323" spans="1:32" ht="26.4" outlineLevel="1" x14ac:dyDescent="0.25">
      <c r="A323" s="23" t="s">
        <v>500</v>
      </c>
      <c r="B323" s="1880" t="s">
        <v>637</v>
      </c>
      <c r="C323" s="1881" t="s">
        <v>501</v>
      </c>
      <c r="D323" s="1687" t="s">
        <v>1029</v>
      </c>
      <c r="E323" s="1865" t="s">
        <v>258</v>
      </c>
      <c r="F323" s="1866" t="s">
        <v>258</v>
      </c>
      <c r="G323" s="1867">
        <v>5948.3700600000002</v>
      </c>
      <c r="H323" s="1427">
        <v>2717.8399899999999</v>
      </c>
      <c r="I323" s="1428">
        <v>3230.5300699999998</v>
      </c>
      <c r="J323" s="1429">
        <v>0</v>
      </c>
      <c r="K323" s="1430">
        <v>3230.5300699999998</v>
      </c>
      <c r="L323" s="1431">
        <f t="shared" si="25"/>
        <v>0</v>
      </c>
      <c r="M323" s="1432">
        <v>3230.5300700000003</v>
      </c>
      <c r="N323" s="257">
        <v>0</v>
      </c>
      <c r="O323" s="2312">
        <f t="shared" si="24"/>
        <v>3230.5300700000003</v>
      </c>
      <c r="P323" s="2313">
        <v>0</v>
      </c>
      <c r="Q323" s="2314">
        <v>0</v>
      </c>
      <c r="R323" s="2315">
        <v>0</v>
      </c>
      <c r="S323" s="2316">
        <v>0</v>
      </c>
      <c r="T323" s="2317">
        <v>0</v>
      </c>
      <c r="U323" s="2318">
        <v>0</v>
      </c>
      <c r="V323" s="2319">
        <v>0</v>
      </c>
      <c r="W323" s="2319">
        <v>0</v>
      </c>
      <c r="X323" s="2319">
        <v>0</v>
      </c>
      <c r="Y323" s="2348">
        <v>0</v>
      </c>
      <c r="Z323" s="1814" t="s">
        <v>72</v>
      </c>
      <c r="AA323" s="2320" t="s">
        <v>83</v>
      </c>
      <c r="AB323" s="2321" t="s">
        <v>528</v>
      </c>
      <c r="AC323" s="2322" t="s">
        <v>80</v>
      </c>
      <c r="AD323" s="2323" t="s">
        <v>89</v>
      </c>
      <c r="AE323" s="1866" t="s">
        <v>172</v>
      </c>
      <c r="AF323" s="1866" t="s">
        <v>650</v>
      </c>
    </row>
    <row r="324" spans="1:32" ht="31.8" outlineLevel="1" thickBot="1" x14ac:dyDescent="0.3">
      <c r="A324" s="405" t="s">
        <v>502</v>
      </c>
      <c r="B324" s="1882" t="s">
        <v>1345</v>
      </c>
      <c r="C324" s="1883" t="s">
        <v>503</v>
      </c>
      <c r="D324" s="1661" t="s">
        <v>1029</v>
      </c>
      <c r="E324" s="1785" t="s">
        <v>111</v>
      </c>
      <c r="F324" s="1663" t="s">
        <v>111</v>
      </c>
      <c r="G324" s="1884">
        <v>28000</v>
      </c>
      <c r="H324" s="1444">
        <v>0</v>
      </c>
      <c r="I324" s="1445">
        <v>205.7</v>
      </c>
      <c r="J324" s="1446">
        <v>0</v>
      </c>
      <c r="K324" s="1447">
        <v>205.7</v>
      </c>
      <c r="L324" s="1448">
        <f t="shared" si="25"/>
        <v>7.3896444519050419E-13</v>
      </c>
      <c r="M324" s="1364">
        <v>205.70000000000073</v>
      </c>
      <c r="N324" s="236">
        <v>0</v>
      </c>
      <c r="O324" s="2349">
        <f t="shared" si="24"/>
        <v>205.70000000000073</v>
      </c>
      <c r="P324" s="2350">
        <v>27794.3</v>
      </c>
      <c r="Q324" s="2351">
        <v>0</v>
      </c>
      <c r="R324" s="2352">
        <v>0</v>
      </c>
      <c r="S324" s="2353">
        <v>0</v>
      </c>
      <c r="T324" s="2354">
        <v>0</v>
      </c>
      <c r="U324" s="1567">
        <v>0</v>
      </c>
      <c r="V324" s="1590">
        <v>0</v>
      </c>
      <c r="W324" s="1590">
        <v>0</v>
      </c>
      <c r="X324" s="1590">
        <v>0</v>
      </c>
      <c r="Y324" s="1600">
        <v>0</v>
      </c>
      <c r="Z324" s="1661" t="s">
        <v>72</v>
      </c>
      <c r="AA324" s="1670" t="s">
        <v>8</v>
      </c>
      <c r="AB324" s="2355" t="s">
        <v>382</v>
      </c>
      <c r="AC324" s="2356" t="s">
        <v>79</v>
      </c>
      <c r="AD324" s="15" t="s">
        <v>90</v>
      </c>
      <c r="AE324" s="1663" t="s">
        <v>182</v>
      </c>
      <c r="AF324" s="1663" t="s">
        <v>650</v>
      </c>
    </row>
    <row r="325" spans="1:32" ht="26.4" outlineLevel="1" x14ac:dyDescent="0.25">
      <c r="A325" s="254" t="s">
        <v>549</v>
      </c>
      <c r="B325" s="1885" t="s">
        <v>753</v>
      </c>
      <c r="C325" s="1886" t="s">
        <v>550</v>
      </c>
      <c r="D325" s="1707" t="s">
        <v>1009</v>
      </c>
      <c r="E325" s="1887" t="s">
        <v>27</v>
      </c>
      <c r="F325" s="1888" t="s">
        <v>27</v>
      </c>
      <c r="G325" s="1889">
        <v>9724.6260000000002</v>
      </c>
      <c r="H325" s="1449">
        <v>5899.0537099999992</v>
      </c>
      <c r="I325" s="1450">
        <v>3825.5722900000001</v>
      </c>
      <c r="J325" s="1451">
        <v>0</v>
      </c>
      <c r="K325" s="1452">
        <v>3825.5722900000001</v>
      </c>
      <c r="L325" s="1453">
        <f t="shared" si="25"/>
        <v>0</v>
      </c>
      <c r="M325" s="1454">
        <v>4418.4362900000024</v>
      </c>
      <c r="N325" s="255">
        <v>-592.86400000000003</v>
      </c>
      <c r="O325" s="2357">
        <f t="shared" si="24"/>
        <v>3825.5722900000023</v>
      </c>
      <c r="P325" s="2358">
        <v>0</v>
      </c>
      <c r="Q325" s="2359">
        <v>0</v>
      </c>
      <c r="R325" s="2360">
        <v>0</v>
      </c>
      <c r="S325" s="2361">
        <v>0</v>
      </c>
      <c r="T325" s="2362">
        <v>0</v>
      </c>
      <c r="U325" s="2363">
        <v>0</v>
      </c>
      <c r="V325" s="2364">
        <v>0</v>
      </c>
      <c r="W325" s="2364">
        <v>0</v>
      </c>
      <c r="X325" s="2364">
        <v>0</v>
      </c>
      <c r="Y325" s="2365">
        <v>0</v>
      </c>
      <c r="Z325" s="2366" t="s">
        <v>1826</v>
      </c>
      <c r="AA325" s="2367" t="s">
        <v>83</v>
      </c>
      <c r="AB325" s="2368" t="s">
        <v>747</v>
      </c>
      <c r="AC325" s="2369" t="s">
        <v>80</v>
      </c>
      <c r="AD325" s="2370" t="s">
        <v>89</v>
      </c>
      <c r="AE325" s="1888" t="s">
        <v>166</v>
      </c>
      <c r="AF325" s="1888"/>
    </row>
    <row r="326" spans="1:32" ht="26.4" outlineLevel="1" x14ac:dyDescent="0.25">
      <c r="A326" s="377" t="s">
        <v>551</v>
      </c>
      <c r="B326" s="1875" t="s">
        <v>1190</v>
      </c>
      <c r="C326" s="1876" t="s">
        <v>552</v>
      </c>
      <c r="D326" s="1629" t="s">
        <v>1009</v>
      </c>
      <c r="E326" s="1877" t="s">
        <v>35</v>
      </c>
      <c r="F326" s="1878" t="s">
        <v>35</v>
      </c>
      <c r="G326" s="1879">
        <v>26950</v>
      </c>
      <c r="H326" s="1439">
        <v>1685.2059899999999</v>
      </c>
      <c r="I326" s="1440">
        <v>14807.24201</v>
      </c>
      <c r="J326" s="1441">
        <v>7224.0364100000006</v>
      </c>
      <c r="K326" s="1442">
        <v>14807.24201</v>
      </c>
      <c r="L326" s="1443">
        <f t="shared" si="25"/>
        <v>10457.551999999998</v>
      </c>
      <c r="M326" s="1371">
        <v>25264.794009999998</v>
      </c>
      <c r="N326" s="238">
        <v>0</v>
      </c>
      <c r="O326" s="2338">
        <f t="shared" si="24"/>
        <v>25264.794009999998</v>
      </c>
      <c r="P326" s="2339">
        <v>0</v>
      </c>
      <c r="Q326" s="2340">
        <v>0</v>
      </c>
      <c r="R326" s="2341">
        <v>0</v>
      </c>
      <c r="S326" s="2342">
        <v>0</v>
      </c>
      <c r="T326" s="2343">
        <v>0</v>
      </c>
      <c r="U326" s="2204">
        <v>0</v>
      </c>
      <c r="V326" s="2177">
        <v>0</v>
      </c>
      <c r="W326" s="2206">
        <v>0</v>
      </c>
      <c r="X326" s="2206">
        <v>0</v>
      </c>
      <c r="Y326" s="2344">
        <v>0</v>
      </c>
      <c r="Z326" s="1808" t="s">
        <v>72</v>
      </c>
      <c r="AA326" s="2345" t="s">
        <v>10</v>
      </c>
      <c r="AB326" s="2346" t="s">
        <v>382</v>
      </c>
      <c r="AC326" s="2347" t="s">
        <v>80</v>
      </c>
      <c r="AD326" s="2104" t="s">
        <v>89</v>
      </c>
      <c r="AE326" s="1878" t="s">
        <v>181</v>
      </c>
      <c r="AF326" s="1631" t="s">
        <v>650</v>
      </c>
    </row>
    <row r="327" spans="1:32" ht="46.8" outlineLevel="1" x14ac:dyDescent="0.25">
      <c r="A327" s="886" t="s">
        <v>553</v>
      </c>
      <c r="B327" s="887" t="s">
        <v>505</v>
      </c>
      <c r="C327" s="888" t="s">
        <v>554</v>
      </c>
      <c r="D327" s="41" t="s">
        <v>1009</v>
      </c>
      <c r="E327" s="989" t="s">
        <v>31</v>
      </c>
      <c r="F327" s="990" t="s">
        <v>31</v>
      </c>
      <c r="G327" s="889">
        <v>39419.99</v>
      </c>
      <c r="H327" s="890">
        <v>216.19200000000001</v>
      </c>
      <c r="I327" s="991">
        <v>25.072320000000001</v>
      </c>
      <c r="J327" s="992">
        <v>0</v>
      </c>
      <c r="K327" s="95">
        <v>25.072320000000001</v>
      </c>
      <c r="L327" s="993">
        <f t="shared" ref="L327:L358" si="26">O327-K327</f>
        <v>653.72768000000292</v>
      </c>
      <c r="M327" s="891">
        <v>678.80000000000291</v>
      </c>
      <c r="N327" s="892">
        <v>0</v>
      </c>
      <c r="O327" s="892">
        <f t="shared" si="24"/>
        <v>678.80000000000291</v>
      </c>
      <c r="P327" s="893">
        <v>0</v>
      </c>
      <c r="Q327" s="894">
        <v>38524.998</v>
      </c>
      <c r="R327" s="895">
        <v>0</v>
      </c>
      <c r="S327" s="896">
        <v>0</v>
      </c>
      <c r="T327" s="897">
        <v>0</v>
      </c>
      <c r="U327" s="898">
        <v>0</v>
      </c>
      <c r="V327" s="899">
        <v>0</v>
      </c>
      <c r="W327" s="899">
        <v>0</v>
      </c>
      <c r="X327" s="899">
        <v>0</v>
      </c>
      <c r="Y327" s="900">
        <v>0</v>
      </c>
      <c r="Z327" s="119" t="s">
        <v>1827</v>
      </c>
      <c r="AA327" s="191" t="s">
        <v>6</v>
      </c>
      <c r="AB327" s="901" t="s">
        <v>1316</v>
      </c>
      <c r="AC327" s="902" t="s">
        <v>79</v>
      </c>
      <c r="AD327" s="301" t="s">
        <v>90</v>
      </c>
      <c r="AE327" s="990" t="s">
        <v>167</v>
      </c>
      <c r="AF327" s="217" t="s">
        <v>650</v>
      </c>
    </row>
    <row r="328" spans="1:32" ht="31.2" outlineLevel="1" x14ac:dyDescent="0.25">
      <c r="A328" s="377" t="s">
        <v>555</v>
      </c>
      <c r="B328" s="1875" t="s">
        <v>641</v>
      </c>
      <c r="C328" s="1876" t="s">
        <v>556</v>
      </c>
      <c r="D328" s="1642" t="s">
        <v>1009</v>
      </c>
      <c r="E328" s="1877" t="s">
        <v>258</v>
      </c>
      <c r="F328" s="1878" t="s">
        <v>258</v>
      </c>
      <c r="G328" s="1879">
        <v>4338.6090000000004</v>
      </c>
      <c r="H328" s="1439">
        <v>496.47500000000002</v>
      </c>
      <c r="I328" s="1440">
        <v>3637.35365</v>
      </c>
      <c r="J328" s="1441">
        <v>0</v>
      </c>
      <c r="K328" s="1442">
        <v>3637.35365</v>
      </c>
      <c r="L328" s="1443">
        <f t="shared" si="26"/>
        <v>204.78035000000045</v>
      </c>
      <c r="M328" s="1371">
        <v>3842.1340000000005</v>
      </c>
      <c r="N328" s="238">
        <v>0</v>
      </c>
      <c r="O328" s="2338">
        <f t="shared" si="24"/>
        <v>3842.1340000000005</v>
      </c>
      <c r="P328" s="2339">
        <v>0</v>
      </c>
      <c r="Q328" s="2340">
        <v>0</v>
      </c>
      <c r="R328" s="2341">
        <v>0</v>
      </c>
      <c r="S328" s="2342">
        <v>0</v>
      </c>
      <c r="T328" s="2343">
        <v>0</v>
      </c>
      <c r="U328" s="2204">
        <v>0</v>
      </c>
      <c r="V328" s="2206">
        <v>0</v>
      </c>
      <c r="W328" s="2206">
        <v>0</v>
      </c>
      <c r="X328" s="2206">
        <v>0</v>
      </c>
      <c r="Y328" s="2344">
        <v>0</v>
      </c>
      <c r="Z328" s="1808" t="s">
        <v>72</v>
      </c>
      <c r="AA328" s="2345" t="s">
        <v>10</v>
      </c>
      <c r="AB328" s="2346" t="s">
        <v>382</v>
      </c>
      <c r="AC328" s="2347" t="s">
        <v>80</v>
      </c>
      <c r="AD328" s="2104" t="s">
        <v>89</v>
      </c>
      <c r="AE328" s="1878" t="s">
        <v>172</v>
      </c>
      <c r="AF328" s="1878" t="s">
        <v>650</v>
      </c>
    </row>
    <row r="329" spans="1:32" ht="31.2" outlineLevel="1" x14ac:dyDescent="0.25">
      <c r="A329" s="377" t="s">
        <v>557</v>
      </c>
      <c r="B329" s="1875" t="s">
        <v>642</v>
      </c>
      <c r="C329" s="1890" t="s">
        <v>558</v>
      </c>
      <c r="D329" s="1629" t="s">
        <v>1009</v>
      </c>
      <c r="E329" s="1630" t="s">
        <v>258</v>
      </c>
      <c r="F329" s="1631" t="s">
        <v>258</v>
      </c>
      <c r="G329" s="1858">
        <v>2943.7959999999998</v>
      </c>
      <c r="H329" s="1416">
        <v>392.90199999999999</v>
      </c>
      <c r="I329" s="1417">
        <v>102</v>
      </c>
      <c r="J329" s="1418">
        <v>2267.9252299999998</v>
      </c>
      <c r="K329" s="1419">
        <v>102</v>
      </c>
      <c r="L329" s="1420">
        <f t="shared" si="26"/>
        <v>2448.8939999999998</v>
      </c>
      <c r="M329" s="1341">
        <v>2550.8939999999998</v>
      </c>
      <c r="N329" s="235">
        <v>0</v>
      </c>
      <c r="O329" s="1488">
        <f t="shared" si="24"/>
        <v>2550.8939999999998</v>
      </c>
      <c r="P329" s="2295">
        <v>0</v>
      </c>
      <c r="Q329" s="2296">
        <v>0</v>
      </c>
      <c r="R329" s="2178">
        <v>0</v>
      </c>
      <c r="S329" s="2179">
        <v>0</v>
      </c>
      <c r="T329" s="2180">
        <v>0</v>
      </c>
      <c r="U329" s="1572">
        <v>0</v>
      </c>
      <c r="V329" s="1574">
        <v>0</v>
      </c>
      <c r="W329" s="1574">
        <v>0</v>
      </c>
      <c r="X329" s="1574">
        <v>0</v>
      </c>
      <c r="Y329" s="1607">
        <v>0</v>
      </c>
      <c r="Z329" s="1629" t="s">
        <v>72</v>
      </c>
      <c r="AA329" s="2297" t="s">
        <v>10</v>
      </c>
      <c r="AB329" s="2298" t="s">
        <v>382</v>
      </c>
      <c r="AC329" s="2299" t="s">
        <v>80</v>
      </c>
      <c r="AD329" s="1986" t="s">
        <v>89</v>
      </c>
      <c r="AE329" s="1631" t="s">
        <v>172</v>
      </c>
      <c r="AF329" s="1631" t="s">
        <v>650</v>
      </c>
    </row>
    <row r="330" spans="1:32" ht="47.4" outlineLevel="1" thickBot="1" x14ac:dyDescent="0.3">
      <c r="A330" s="34" t="s">
        <v>559</v>
      </c>
      <c r="B330" s="1891" t="s">
        <v>636</v>
      </c>
      <c r="C330" s="1843" t="s">
        <v>971</v>
      </c>
      <c r="D330" s="1755" t="s">
        <v>1009</v>
      </c>
      <c r="E330" s="1844" t="s">
        <v>258</v>
      </c>
      <c r="F330" s="1845" t="s">
        <v>258</v>
      </c>
      <c r="G330" s="1842">
        <v>5202.5622499999999</v>
      </c>
      <c r="H330" s="1398">
        <v>2507.5047</v>
      </c>
      <c r="I330" s="1399">
        <v>2695.05755</v>
      </c>
      <c r="J330" s="1400">
        <v>0</v>
      </c>
      <c r="K330" s="1401">
        <v>2695.05755</v>
      </c>
      <c r="L330" s="1402">
        <f t="shared" si="26"/>
        <v>0</v>
      </c>
      <c r="M330" s="1403">
        <v>2695.0575499999977</v>
      </c>
      <c r="N330" s="324">
        <v>0</v>
      </c>
      <c r="O330" s="2255">
        <f t="shared" si="24"/>
        <v>2695.0575499999977</v>
      </c>
      <c r="P330" s="2256">
        <v>0</v>
      </c>
      <c r="Q330" s="2257">
        <v>0</v>
      </c>
      <c r="R330" s="2258">
        <v>0</v>
      </c>
      <c r="S330" s="2259">
        <v>0</v>
      </c>
      <c r="T330" s="2260">
        <v>0</v>
      </c>
      <c r="U330" s="1583">
        <v>0</v>
      </c>
      <c r="V330" s="1585">
        <v>0</v>
      </c>
      <c r="W330" s="1585">
        <v>0</v>
      </c>
      <c r="X330" s="1585">
        <v>0</v>
      </c>
      <c r="Y330" s="2261">
        <v>0</v>
      </c>
      <c r="Z330" s="1755" t="s">
        <v>72</v>
      </c>
      <c r="AA330" s="2265" t="s">
        <v>83</v>
      </c>
      <c r="AB330" s="2266" t="s">
        <v>1074</v>
      </c>
      <c r="AC330" s="2267" t="s">
        <v>80</v>
      </c>
      <c r="AD330" s="2136" t="s">
        <v>89</v>
      </c>
      <c r="AE330" s="1845" t="s">
        <v>172</v>
      </c>
      <c r="AF330" s="1845"/>
    </row>
    <row r="331" spans="1:32" ht="31.2" outlineLevel="1" x14ac:dyDescent="0.25">
      <c r="A331" s="328" t="s">
        <v>592</v>
      </c>
      <c r="B331" s="1892" t="s">
        <v>1312</v>
      </c>
      <c r="C331" s="1847" t="s">
        <v>593</v>
      </c>
      <c r="D331" s="1742" t="s">
        <v>1008</v>
      </c>
      <c r="E331" s="1848" t="s">
        <v>103</v>
      </c>
      <c r="F331" s="1849" t="s">
        <v>103</v>
      </c>
      <c r="G331" s="1850">
        <v>549.95953999999995</v>
      </c>
      <c r="H331" s="1404">
        <v>0</v>
      </c>
      <c r="I331" s="1405">
        <v>549.95953999999995</v>
      </c>
      <c r="J331" s="1406">
        <v>0</v>
      </c>
      <c r="K331" s="1407">
        <v>549.95953999999995</v>
      </c>
      <c r="L331" s="1408">
        <f t="shared" si="26"/>
        <v>0</v>
      </c>
      <c r="M331" s="1409">
        <v>549.95953999999995</v>
      </c>
      <c r="N331" s="329">
        <v>0</v>
      </c>
      <c r="O331" s="2269">
        <f t="shared" si="24"/>
        <v>549.95953999999995</v>
      </c>
      <c r="P331" s="2270">
        <v>0</v>
      </c>
      <c r="Q331" s="2271">
        <v>0</v>
      </c>
      <c r="R331" s="2272">
        <v>0</v>
      </c>
      <c r="S331" s="2273">
        <v>0</v>
      </c>
      <c r="T331" s="2274">
        <v>0</v>
      </c>
      <c r="U331" s="2275">
        <v>0</v>
      </c>
      <c r="V331" s="2371">
        <v>0</v>
      </c>
      <c r="W331" s="2372">
        <v>0</v>
      </c>
      <c r="X331" s="2372">
        <v>0</v>
      </c>
      <c r="Y331" s="2277">
        <v>0</v>
      </c>
      <c r="Z331" s="1874" t="s">
        <v>72</v>
      </c>
      <c r="AA331" s="2278" t="s">
        <v>83</v>
      </c>
      <c r="AB331" s="2279" t="s">
        <v>986</v>
      </c>
      <c r="AC331" s="2280" t="s">
        <v>80</v>
      </c>
      <c r="AD331" s="2281" t="s">
        <v>89</v>
      </c>
      <c r="AE331" s="1849" t="s">
        <v>180</v>
      </c>
      <c r="AF331" s="1849"/>
    </row>
    <row r="332" spans="1:32" ht="31.2" outlineLevel="1" x14ac:dyDescent="0.25">
      <c r="A332" s="377" t="s">
        <v>594</v>
      </c>
      <c r="B332" s="1875" t="s">
        <v>1313</v>
      </c>
      <c r="C332" s="1876" t="s">
        <v>595</v>
      </c>
      <c r="D332" s="1629" t="s">
        <v>1008</v>
      </c>
      <c r="E332" s="1877" t="s">
        <v>103</v>
      </c>
      <c r="F332" s="1878" t="s">
        <v>103</v>
      </c>
      <c r="G332" s="1879">
        <f>460+360</f>
        <v>820</v>
      </c>
      <c r="H332" s="1439">
        <v>338.8</v>
      </c>
      <c r="I332" s="1440">
        <v>0</v>
      </c>
      <c r="J332" s="1441">
        <v>0</v>
      </c>
      <c r="K332" s="1442">
        <v>0</v>
      </c>
      <c r="L332" s="1443">
        <f t="shared" si="26"/>
        <v>481.2</v>
      </c>
      <c r="M332" s="1371">
        <v>481.2</v>
      </c>
      <c r="N332" s="238">
        <v>0</v>
      </c>
      <c r="O332" s="2338">
        <f t="shared" si="24"/>
        <v>481.2</v>
      </c>
      <c r="P332" s="2339">
        <v>0</v>
      </c>
      <c r="Q332" s="2340">
        <v>0</v>
      </c>
      <c r="R332" s="2341">
        <v>0</v>
      </c>
      <c r="S332" s="2342">
        <v>0</v>
      </c>
      <c r="T332" s="2343">
        <v>0</v>
      </c>
      <c r="U332" s="2204">
        <v>0</v>
      </c>
      <c r="V332" s="2177">
        <v>0</v>
      </c>
      <c r="W332" s="2177">
        <v>0</v>
      </c>
      <c r="X332" s="2177">
        <v>0</v>
      </c>
      <c r="Y332" s="2344">
        <v>0</v>
      </c>
      <c r="Z332" s="1808" t="s">
        <v>72</v>
      </c>
      <c r="AA332" s="2345" t="s">
        <v>10</v>
      </c>
      <c r="AB332" s="2346" t="s">
        <v>382</v>
      </c>
      <c r="AC332" s="2347" t="s">
        <v>80</v>
      </c>
      <c r="AD332" s="2104" t="s">
        <v>89</v>
      </c>
      <c r="AE332" s="1878" t="s">
        <v>180</v>
      </c>
      <c r="AF332" s="1878"/>
    </row>
    <row r="333" spans="1:32" ht="26.4" outlineLevel="1" x14ac:dyDescent="0.25">
      <c r="A333" s="256" t="s">
        <v>596</v>
      </c>
      <c r="B333" s="1863" t="s">
        <v>1346</v>
      </c>
      <c r="C333" s="1864" t="s">
        <v>597</v>
      </c>
      <c r="D333" s="1687" t="s">
        <v>1008</v>
      </c>
      <c r="E333" s="1865" t="s">
        <v>28</v>
      </c>
      <c r="F333" s="1866" t="s">
        <v>28</v>
      </c>
      <c r="G333" s="1867">
        <v>496.61099999999999</v>
      </c>
      <c r="H333" s="1427">
        <v>0</v>
      </c>
      <c r="I333" s="1428">
        <v>496.61099999999999</v>
      </c>
      <c r="J333" s="1429">
        <v>0</v>
      </c>
      <c r="K333" s="1430">
        <v>496.61099999999999</v>
      </c>
      <c r="L333" s="1431">
        <f t="shared" si="26"/>
        <v>0</v>
      </c>
      <c r="M333" s="1432">
        <v>496.61099999999999</v>
      </c>
      <c r="N333" s="257">
        <v>0</v>
      </c>
      <c r="O333" s="2312">
        <f t="shared" si="24"/>
        <v>496.61099999999999</v>
      </c>
      <c r="P333" s="2313">
        <v>0</v>
      </c>
      <c r="Q333" s="2314">
        <v>0</v>
      </c>
      <c r="R333" s="2315">
        <v>0</v>
      </c>
      <c r="S333" s="2316">
        <v>0</v>
      </c>
      <c r="T333" s="2317">
        <v>0</v>
      </c>
      <c r="U333" s="2318">
        <v>0</v>
      </c>
      <c r="V333" s="2209">
        <v>0</v>
      </c>
      <c r="W333" s="2209">
        <v>0</v>
      </c>
      <c r="X333" s="2209">
        <v>0</v>
      </c>
      <c r="Y333" s="2348">
        <v>0</v>
      </c>
      <c r="Z333" s="1814" t="s">
        <v>72</v>
      </c>
      <c r="AA333" s="2320" t="s">
        <v>83</v>
      </c>
      <c r="AB333" s="2321" t="s">
        <v>986</v>
      </c>
      <c r="AC333" s="2322" t="s">
        <v>80</v>
      </c>
      <c r="AD333" s="2323" t="s">
        <v>89</v>
      </c>
      <c r="AE333" s="1866" t="s">
        <v>172</v>
      </c>
      <c r="AF333" s="1866"/>
    </row>
    <row r="334" spans="1:32" ht="31.2" outlineLevel="1" x14ac:dyDescent="0.25">
      <c r="A334" s="377" t="s">
        <v>598</v>
      </c>
      <c r="B334" s="1875" t="s">
        <v>1205</v>
      </c>
      <c r="C334" s="1876" t="s">
        <v>599</v>
      </c>
      <c r="D334" s="1629" t="s">
        <v>1008</v>
      </c>
      <c r="E334" s="1877" t="s">
        <v>28</v>
      </c>
      <c r="F334" s="1878" t="s">
        <v>28</v>
      </c>
      <c r="G334" s="1879">
        <v>500</v>
      </c>
      <c r="H334" s="1439">
        <v>302.41800000000001</v>
      </c>
      <c r="I334" s="1440">
        <v>158.46204</v>
      </c>
      <c r="J334" s="1441">
        <v>0</v>
      </c>
      <c r="K334" s="1442">
        <v>158.46204</v>
      </c>
      <c r="L334" s="1443">
        <f t="shared" si="26"/>
        <v>39.119959999999992</v>
      </c>
      <c r="M334" s="1371">
        <v>197.58199999999999</v>
      </c>
      <c r="N334" s="238">
        <v>0</v>
      </c>
      <c r="O334" s="2338">
        <f t="shared" si="24"/>
        <v>197.58199999999999</v>
      </c>
      <c r="P334" s="2339">
        <v>0</v>
      </c>
      <c r="Q334" s="2340">
        <v>0</v>
      </c>
      <c r="R334" s="2341">
        <v>0</v>
      </c>
      <c r="S334" s="2342">
        <v>0</v>
      </c>
      <c r="T334" s="2343">
        <v>0</v>
      </c>
      <c r="U334" s="2204">
        <v>0</v>
      </c>
      <c r="V334" s="2177">
        <v>0</v>
      </c>
      <c r="W334" s="2177">
        <v>0</v>
      </c>
      <c r="X334" s="2177">
        <v>0</v>
      </c>
      <c r="Y334" s="2344">
        <v>0</v>
      </c>
      <c r="Z334" s="1808" t="s">
        <v>72</v>
      </c>
      <c r="AA334" s="2345" t="s">
        <v>10</v>
      </c>
      <c r="AB334" s="2346" t="s">
        <v>382</v>
      </c>
      <c r="AC334" s="2347" t="s">
        <v>80</v>
      </c>
      <c r="AD334" s="2104" t="s">
        <v>89</v>
      </c>
      <c r="AE334" s="1878" t="s">
        <v>172</v>
      </c>
      <c r="AF334" s="1878"/>
    </row>
    <row r="335" spans="1:32" ht="26.4" outlineLevel="1" x14ac:dyDescent="0.25">
      <c r="A335" s="258" t="s">
        <v>600</v>
      </c>
      <c r="B335" s="1851" t="s">
        <v>1154</v>
      </c>
      <c r="C335" s="1852" t="s">
        <v>601</v>
      </c>
      <c r="D335" s="1803" t="s">
        <v>1008</v>
      </c>
      <c r="E335" s="1853" t="s">
        <v>31</v>
      </c>
      <c r="F335" s="1854" t="s">
        <v>31</v>
      </c>
      <c r="G335" s="1855">
        <v>45.98</v>
      </c>
      <c r="H335" s="1410">
        <v>45.98</v>
      </c>
      <c r="I335" s="1411">
        <v>0</v>
      </c>
      <c r="J335" s="1412">
        <v>0</v>
      </c>
      <c r="K335" s="1413">
        <v>0</v>
      </c>
      <c r="L335" s="1414">
        <f t="shared" si="26"/>
        <v>0</v>
      </c>
      <c r="M335" s="1415">
        <v>0</v>
      </c>
      <c r="N335" s="259">
        <v>0</v>
      </c>
      <c r="O335" s="2282">
        <f t="shared" si="24"/>
        <v>0</v>
      </c>
      <c r="P335" s="2283">
        <v>0</v>
      </c>
      <c r="Q335" s="2284">
        <v>0</v>
      </c>
      <c r="R335" s="2285">
        <v>0</v>
      </c>
      <c r="S335" s="2286">
        <v>0</v>
      </c>
      <c r="T335" s="2287">
        <v>0</v>
      </c>
      <c r="U335" s="2288">
        <v>0</v>
      </c>
      <c r="V335" s="2177">
        <v>0</v>
      </c>
      <c r="W335" s="2177">
        <v>0</v>
      </c>
      <c r="X335" s="2192">
        <v>0</v>
      </c>
      <c r="Y335" s="2290">
        <v>0</v>
      </c>
      <c r="Z335" s="1812" t="s">
        <v>1828</v>
      </c>
      <c r="AA335" s="2291" t="s">
        <v>83</v>
      </c>
      <c r="AB335" s="2292" t="s">
        <v>533</v>
      </c>
      <c r="AC335" s="2293" t="s">
        <v>79</v>
      </c>
      <c r="AD335" s="2294" t="s">
        <v>89</v>
      </c>
      <c r="AE335" s="1854" t="s">
        <v>167</v>
      </c>
      <c r="AF335" s="1854"/>
    </row>
    <row r="336" spans="1:32" ht="26.4" outlineLevel="1" x14ac:dyDescent="0.25">
      <c r="A336" s="377" t="s">
        <v>602</v>
      </c>
      <c r="B336" s="1875" t="s">
        <v>75</v>
      </c>
      <c r="C336" s="1876" t="s">
        <v>603</v>
      </c>
      <c r="D336" s="1629" t="s">
        <v>1008</v>
      </c>
      <c r="E336" s="1877" t="s">
        <v>31</v>
      </c>
      <c r="F336" s="1878" t="s">
        <v>31</v>
      </c>
      <c r="G336" s="1879">
        <v>10000</v>
      </c>
      <c r="H336" s="1439">
        <v>0</v>
      </c>
      <c r="I336" s="1440">
        <v>0</v>
      </c>
      <c r="J336" s="1441">
        <v>0</v>
      </c>
      <c r="K336" s="1442">
        <v>0</v>
      </c>
      <c r="L336" s="1443">
        <f t="shared" si="26"/>
        <v>10000</v>
      </c>
      <c r="M336" s="1371">
        <v>10000</v>
      </c>
      <c r="N336" s="238">
        <v>0</v>
      </c>
      <c r="O336" s="2338">
        <f t="shared" si="24"/>
        <v>10000</v>
      </c>
      <c r="P336" s="2339">
        <v>0</v>
      </c>
      <c r="Q336" s="2340">
        <v>0</v>
      </c>
      <c r="R336" s="2341">
        <v>0</v>
      </c>
      <c r="S336" s="2342">
        <v>0</v>
      </c>
      <c r="T336" s="2343">
        <v>0</v>
      </c>
      <c r="U336" s="2204">
        <v>0</v>
      </c>
      <c r="V336" s="2177">
        <v>0</v>
      </c>
      <c r="W336" s="2177">
        <v>0</v>
      </c>
      <c r="X336" s="2177">
        <v>0</v>
      </c>
      <c r="Y336" s="2344">
        <v>0</v>
      </c>
      <c r="Z336" s="1808" t="s">
        <v>72</v>
      </c>
      <c r="AA336" s="2345" t="s">
        <v>10</v>
      </c>
      <c r="AB336" s="2346" t="s">
        <v>382</v>
      </c>
      <c r="AC336" s="2347" t="s">
        <v>80</v>
      </c>
      <c r="AD336" s="2104" t="s">
        <v>88</v>
      </c>
      <c r="AE336" s="1878" t="s">
        <v>167</v>
      </c>
      <c r="AF336" s="1878"/>
    </row>
    <row r="337" spans="1:32" ht="46.8" outlineLevel="1" x14ac:dyDescent="0.25">
      <c r="A337" s="886" t="s">
        <v>604</v>
      </c>
      <c r="B337" s="887" t="s">
        <v>75</v>
      </c>
      <c r="C337" s="888" t="s">
        <v>742</v>
      </c>
      <c r="D337" s="41" t="s">
        <v>1008</v>
      </c>
      <c r="E337" s="989" t="s">
        <v>31</v>
      </c>
      <c r="F337" s="990" t="s">
        <v>31</v>
      </c>
      <c r="G337" s="889">
        <v>3500</v>
      </c>
      <c r="H337" s="890">
        <v>0</v>
      </c>
      <c r="I337" s="991">
        <v>0</v>
      </c>
      <c r="J337" s="992">
        <v>0</v>
      </c>
      <c r="K337" s="903">
        <v>0</v>
      </c>
      <c r="L337" s="904">
        <f t="shared" si="26"/>
        <v>0</v>
      </c>
      <c r="M337" s="891">
        <v>0</v>
      </c>
      <c r="N337" s="892">
        <v>0</v>
      </c>
      <c r="O337" s="892">
        <f t="shared" si="24"/>
        <v>0</v>
      </c>
      <c r="P337" s="893">
        <v>0</v>
      </c>
      <c r="Q337" s="894">
        <v>3500</v>
      </c>
      <c r="R337" s="895">
        <v>0</v>
      </c>
      <c r="S337" s="896">
        <v>0</v>
      </c>
      <c r="T337" s="897">
        <v>0</v>
      </c>
      <c r="U337" s="898">
        <v>0</v>
      </c>
      <c r="V337" s="190">
        <v>0</v>
      </c>
      <c r="W337" s="190">
        <v>0</v>
      </c>
      <c r="X337" s="190">
        <v>0</v>
      </c>
      <c r="Y337" s="900">
        <v>0</v>
      </c>
      <c r="Z337" s="119" t="s">
        <v>1829</v>
      </c>
      <c r="AA337" s="191" t="s">
        <v>6</v>
      </c>
      <c r="AB337" s="901" t="s">
        <v>1316</v>
      </c>
      <c r="AC337" s="902" t="s">
        <v>79</v>
      </c>
      <c r="AD337" s="301" t="s">
        <v>89</v>
      </c>
      <c r="AE337" s="990" t="s">
        <v>167</v>
      </c>
      <c r="AF337" s="990"/>
    </row>
    <row r="338" spans="1:32" ht="31.2" outlineLevel="1" x14ac:dyDescent="0.25">
      <c r="A338" s="377" t="s">
        <v>605</v>
      </c>
      <c r="B338" s="1875" t="s">
        <v>75</v>
      </c>
      <c r="C338" s="1876" t="s">
        <v>606</v>
      </c>
      <c r="D338" s="1629" t="s">
        <v>1008</v>
      </c>
      <c r="E338" s="1877" t="s">
        <v>261</v>
      </c>
      <c r="F338" s="1878" t="s">
        <v>261</v>
      </c>
      <c r="G338" s="1879">
        <v>600</v>
      </c>
      <c r="H338" s="1439">
        <v>0</v>
      </c>
      <c r="I338" s="1440">
        <v>0</v>
      </c>
      <c r="J338" s="1441">
        <v>0</v>
      </c>
      <c r="K338" s="1442">
        <v>0</v>
      </c>
      <c r="L338" s="1443">
        <f t="shared" si="26"/>
        <v>600</v>
      </c>
      <c r="M338" s="1371">
        <v>600</v>
      </c>
      <c r="N338" s="238">
        <v>0</v>
      </c>
      <c r="O338" s="2338">
        <f t="shared" si="24"/>
        <v>600</v>
      </c>
      <c r="P338" s="2339">
        <v>0</v>
      </c>
      <c r="Q338" s="2340">
        <v>0</v>
      </c>
      <c r="R338" s="2341">
        <v>0</v>
      </c>
      <c r="S338" s="2342">
        <v>0</v>
      </c>
      <c r="T338" s="2343">
        <v>0</v>
      </c>
      <c r="U338" s="2204">
        <v>0</v>
      </c>
      <c r="V338" s="2177">
        <v>0</v>
      </c>
      <c r="W338" s="2177">
        <v>0</v>
      </c>
      <c r="X338" s="2177">
        <v>0</v>
      </c>
      <c r="Y338" s="2344">
        <v>0</v>
      </c>
      <c r="Z338" s="1808" t="s">
        <v>72</v>
      </c>
      <c r="AA338" s="2345" t="s">
        <v>10</v>
      </c>
      <c r="AB338" s="2346" t="s">
        <v>382</v>
      </c>
      <c r="AC338" s="2347" t="s">
        <v>80</v>
      </c>
      <c r="AD338" s="2104" t="s">
        <v>89</v>
      </c>
      <c r="AE338" s="1878" t="s">
        <v>183</v>
      </c>
      <c r="AF338" s="1878"/>
    </row>
    <row r="339" spans="1:32" s="956" customFormat="1" ht="31.2" outlineLevel="1" x14ac:dyDescent="0.25">
      <c r="A339" s="256" t="s">
        <v>607</v>
      </c>
      <c r="B339" s="1863" t="s">
        <v>638</v>
      </c>
      <c r="C339" s="1864" t="s">
        <v>1174</v>
      </c>
      <c r="D339" s="1687" t="s">
        <v>1008</v>
      </c>
      <c r="E339" s="1865" t="s">
        <v>258</v>
      </c>
      <c r="F339" s="1866" t="s">
        <v>258</v>
      </c>
      <c r="G339" s="1867">
        <f>5712.49+312.56116</f>
        <v>6025.05116</v>
      </c>
      <c r="H339" s="1427">
        <v>5407.4802500000005</v>
      </c>
      <c r="I339" s="1428">
        <v>617.57090999999991</v>
      </c>
      <c r="J339" s="1429">
        <v>0</v>
      </c>
      <c r="K339" s="1430">
        <v>617.57091000000037</v>
      </c>
      <c r="L339" s="1431">
        <f t="shared" si="26"/>
        <v>0</v>
      </c>
      <c r="M339" s="1432">
        <v>617.57091000000037</v>
      </c>
      <c r="N339" s="257">
        <v>0</v>
      </c>
      <c r="O339" s="2312">
        <f t="shared" si="24"/>
        <v>617.57091000000037</v>
      </c>
      <c r="P339" s="2313">
        <v>0</v>
      </c>
      <c r="Q339" s="2314">
        <v>0</v>
      </c>
      <c r="R339" s="2315">
        <v>0</v>
      </c>
      <c r="S339" s="2316">
        <v>0</v>
      </c>
      <c r="T339" s="2317">
        <v>0</v>
      </c>
      <c r="U339" s="2318">
        <v>0</v>
      </c>
      <c r="V339" s="2209">
        <v>0</v>
      </c>
      <c r="W339" s="2209">
        <v>0</v>
      </c>
      <c r="X339" s="2209">
        <v>0</v>
      </c>
      <c r="Y339" s="2348">
        <v>0</v>
      </c>
      <c r="Z339" s="1814" t="s">
        <v>72</v>
      </c>
      <c r="AA339" s="2320" t="s">
        <v>83</v>
      </c>
      <c r="AB339" s="2321" t="s">
        <v>986</v>
      </c>
      <c r="AC339" s="2322" t="s">
        <v>80</v>
      </c>
      <c r="AD339" s="2323" t="s">
        <v>89</v>
      </c>
      <c r="AE339" s="1866" t="s">
        <v>172</v>
      </c>
      <c r="AF339" s="1866"/>
    </row>
    <row r="340" spans="1:32" ht="31.8" outlineLevel="1" thickBot="1" x14ac:dyDescent="0.3">
      <c r="A340" s="34" t="s">
        <v>608</v>
      </c>
      <c r="B340" s="1891" t="s">
        <v>1229</v>
      </c>
      <c r="C340" s="1893" t="s">
        <v>609</v>
      </c>
      <c r="D340" s="1755" t="s">
        <v>1008</v>
      </c>
      <c r="E340" s="1844" t="s">
        <v>258</v>
      </c>
      <c r="F340" s="1845" t="s">
        <v>258</v>
      </c>
      <c r="G340" s="1842">
        <v>1389.08</v>
      </c>
      <c r="H340" s="1398">
        <v>0</v>
      </c>
      <c r="I340" s="1399">
        <v>1389.08</v>
      </c>
      <c r="J340" s="1400">
        <v>0</v>
      </c>
      <c r="K340" s="1401">
        <v>1389.08</v>
      </c>
      <c r="L340" s="1402">
        <f t="shared" si="26"/>
        <v>0</v>
      </c>
      <c r="M340" s="1403">
        <v>1389.08</v>
      </c>
      <c r="N340" s="324">
        <v>0</v>
      </c>
      <c r="O340" s="2255">
        <f t="shared" si="24"/>
        <v>1389.08</v>
      </c>
      <c r="P340" s="2256">
        <v>0</v>
      </c>
      <c r="Q340" s="2257">
        <v>0</v>
      </c>
      <c r="R340" s="2258">
        <v>0</v>
      </c>
      <c r="S340" s="2259">
        <v>0</v>
      </c>
      <c r="T340" s="2260">
        <v>0</v>
      </c>
      <c r="U340" s="1583">
        <v>0</v>
      </c>
      <c r="V340" s="1585">
        <v>0</v>
      </c>
      <c r="W340" s="1585">
        <v>0</v>
      </c>
      <c r="X340" s="1585">
        <v>0</v>
      </c>
      <c r="Y340" s="2261">
        <v>0</v>
      </c>
      <c r="Z340" s="1755" t="s">
        <v>72</v>
      </c>
      <c r="AA340" s="2265" t="s">
        <v>83</v>
      </c>
      <c r="AB340" s="2266" t="s">
        <v>986</v>
      </c>
      <c r="AC340" s="2267" t="s">
        <v>80</v>
      </c>
      <c r="AD340" s="2136" t="s">
        <v>89</v>
      </c>
      <c r="AE340" s="1845" t="s">
        <v>172</v>
      </c>
      <c r="AF340" s="1845"/>
    </row>
    <row r="341" spans="1:32" ht="31.2" outlineLevel="1" x14ac:dyDescent="0.25">
      <c r="A341" s="328" t="s">
        <v>719</v>
      </c>
      <c r="B341" s="1846" t="s">
        <v>1227</v>
      </c>
      <c r="C341" s="1847" t="s">
        <v>720</v>
      </c>
      <c r="D341" s="1742" t="s">
        <v>1015</v>
      </c>
      <c r="E341" s="1848" t="s">
        <v>31</v>
      </c>
      <c r="F341" s="1849" t="s">
        <v>31</v>
      </c>
      <c r="G341" s="1850">
        <v>433.89510999999999</v>
      </c>
      <c r="H341" s="1404">
        <v>0</v>
      </c>
      <c r="I341" s="1405">
        <v>433.89510999999999</v>
      </c>
      <c r="J341" s="1406">
        <v>0</v>
      </c>
      <c r="K341" s="1407">
        <v>433.89510999999999</v>
      </c>
      <c r="L341" s="1408">
        <f t="shared" si="26"/>
        <v>0</v>
      </c>
      <c r="M341" s="1409">
        <v>433.89510999999999</v>
      </c>
      <c r="N341" s="329">
        <v>0</v>
      </c>
      <c r="O341" s="2269">
        <f t="shared" si="24"/>
        <v>433.89510999999999</v>
      </c>
      <c r="P341" s="2373">
        <v>0</v>
      </c>
      <c r="Q341" s="2274">
        <v>0</v>
      </c>
      <c r="R341" s="2272">
        <v>0</v>
      </c>
      <c r="S341" s="2273">
        <v>0</v>
      </c>
      <c r="T341" s="2274">
        <v>0</v>
      </c>
      <c r="U341" s="2275">
        <v>0</v>
      </c>
      <c r="V341" s="2374">
        <v>0</v>
      </c>
      <c r="W341" s="1570">
        <v>0</v>
      </c>
      <c r="X341" s="1570">
        <v>0</v>
      </c>
      <c r="Y341" s="2277">
        <v>0</v>
      </c>
      <c r="Z341" s="1874" t="s">
        <v>72</v>
      </c>
      <c r="AA341" s="2278" t="s">
        <v>83</v>
      </c>
      <c r="AB341" s="2279" t="s">
        <v>986</v>
      </c>
      <c r="AC341" s="2280" t="s">
        <v>80</v>
      </c>
      <c r="AD341" s="2281" t="s">
        <v>89</v>
      </c>
      <c r="AE341" s="1849" t="s">
        <v>167</v>
      </c>
      <c r="AF341" s="1849"/>
    </row>
    <row r="342" spans="1:32" ht="46.8" outlineLevel="1" x14ac:dyDescent="0.25">
      <c r="A342" s="258" t="s">
        <v>721</v>
      </c>
      <c r="B342" s="1851" t="s">
        <v>972</v>
      </c>
      <c r="C342" s="1852" t="s">
        <v>1458</v>
      </c>
      <c r="D342" s="1707" t="s">
        <v>1015</v>
      </c>
      <c r="E342" s="1853" t="s">
        <v>31</v>
      </c>
      <c r="F342" s="1854" t="s">
        <v>31</v>
      </c>
      <c r="G342" s="1855">
        <v>147</v>
      </c>
      <c r="H342" s="1410">
        <v>147</v>
      </c>
      <c r="I342" s="1411">
        <v>0</v>
      </c>
      <c r="J342" s="1412">
        <v>0</v>
      </c>
      <c r="K342" s="1413">
        <v>0</v>
      </c>
      <c r="L342" s="1414">
        <f t="shared" si="26"/>
        <v>0</v>
      </c>
      <c r="M342" s="1415">
        <v>24</v>
      </c>
      <c r="N342" s="259">
        <v>-24</v>
      </c>
      <c r="O342" s="2282">
        <f t="shared" si="24"/>
        <v>0</v>
      </c>
      <c r="P342" s="2375">
        <v>0</v>
      </c>
      <c r="Q342" s="2287">
        <v>0</v>
      </c>
      <c r="R342" s="2285">
        <v>0</v>
      </c>
      <c r="S342" s="2286">
        <v>0</v>
      </c>
      <c r="T342" s="2287">
        <v>0</v>
      </c>
      <c r="U342" s="2288">
        <v>0</v>
      </c>
      <c r="V342" s="2192">
        <v>0</v>
      </c>
      <c r="W342" s="2192">
        <v>0</v>
      </c>
      <c r="X342" s="2192">
        <v>0</v>
      </c>
      <c r="Y342" s="2290">
        <v>0</v>
      </c>
      <c r="Z342" s="1812" t="s">
        <v>1830</v>
      </c>
      <c r="AA342" s="2291" t="s">
        <v>83</v>
      </c>
      <c r="AB342" s="2292" t="s">
        <v>533</v>
      </c>
      <c r="AC342" s="2293" t="s">
        <v>80</v>
      </c>
      <c r="AD342" s="2294" t="s">
        <v>89</v>
      </c>
      <c r="AE342" s="1854" t="s">
        <v>167</v>
      </c>
      <c r="AF342" s="1854"/>
    </row>
    <row r="343" spans="1:32" ht="31.2" outlineLevel="1" x14ac:dyDescent="0.25">
      <c r="A343" s="378" t="s">
        <v>722</v>
      </c>
      <c r="B343" s="1856" t="s">
        <v>862</v>
      </c>
      <c r="C343" s="1857" t="s">
        <v>723</v>
      </c>
      <c r="D343" s="1629" t="s">
        <v>1015</v>
      </c>
      <c r="E343" s="1630" t="s">
        <v>31</v>
      </c>
      <c r="F343" s="1631" t="s">
        <v>31</v>
      </c>
      <c r="G343" s="1858">
        <v>900</v>
      </c>
      <c r="H343" s="1416">
        <v>175.45</v>
      </c>
      <c r="I343" s="1417">
        <v>72.599999999999994</v>
      </c>
      <c r="J343" s="1418">
        <v>477.95</v>
      </c>
      <c r="K343" s="1419">
        <v>72.599999999999994</v>
      </c>
      <c r="L343" s="1420">
        <f t="shared" si="26"/>
        <v>651.94999999999993</v>
      </c>
      <c r="M343" s="1341">
        <v>724.55</v>
      </c>
      <c r="N343" s="235">
        <v>0</v>
      </c>
      <c r="O343" s="1488">
        <f t="shared" si="24"/>
        <v>724.55</v>
      </c>
      <c r="P343" s="2295">
        <v>0</v>
      </c>
      <c r="Q343" s="2180">
        <v>0</v>
      </c>
      <c r="R343" s="2178">
        <v>0</v>
      </c>
      <c r="S343" s="2179">
        <v>0</v>
      </c>
      <c r="T343" s="2180">
        <v>0</v>
      </c>
      <c r="U343" s="1572">
        <v>0</v>
      </c>
      <c r="V343" s="2177">
        <v>0</v>
      </c>
      <c r="W343" s="2177">
        <v>0</v>
      </c>
      <c r="X343" s="2177">
        <v>0</v>
      </c>
      <c r="Y343" s="1607">
        <v>0</v>
      </c>
      <c r="Z343" s="1629" t="s">
        <v>72</v>
      </c>
      <c r="AA343" s="2297" t="s">
        <v>10</v>
      </c>
      <c r="AB343" s="2346" t="s">
        <v>382</v>
      </c>
      <c r="AC343" s="2299" t="s">
        <v>80</v>
      </c>
      <c r="AD343" s="1986" t="s">
        <v>89</v>
      </c>
      <c r="AE343" s="1631" t="s">
        <v>167</v>
      </c>
      <c r="AF343" s="1631"/>
    </row>
    <row r="344" spans="1:32" ht="31.2" outlineLevel="1" x14ac:dyDescent="0.25">
      <c r="A344" s="23" t="s">
        <v>724</v>
      </c>
      <c r="B344" s="1880" t="s">
        <v>973</v>
      </c>
      <c r="C344" s="1894" t="s">
        <v>725</v>
      </c>
      <c r="D344" s="1687" t="s">
        <v>1015</v>
      </c>
      <c r="E344" s="1895" t="s">
        <v>30</v>
      </c>
      <c r="F344" s="1688" t="s">
        <v>30</v>
      </c>
      <c r="G344" s="1896">
        <v>69.250110000000006</v>
      </c>
      <c r="H344" s="1455">
        <v>41.250109999999999</v>
      </c>
      <c r="I344" s="1456">
        <v>28</v>
      </c>
      <c r="J344" s="1457">
        <v>0</v>
      </c>
      <c r="K344" s="1458">
        <v>28</v>
      </c>
      <c r="L344" s="1459">
        <f t="shared" si="26"/>
        <v>0</v>
      </c>
      <c r="M344" s="1376">
        <v>27.999999999999993</v>
      </c>
      <c r="N344" s="252">
        <v>0</v>
      </c>
      <c r="O344" s="2376">
        <f t="shared" si="24"/>
        <v>27.999999999999993</v>
      </c>
      <c r="P344" s="2377">
        <v>0</v>
      </c>
      <c r="Q344" s="2378">
        <v>0</v>
      </c>
      <c r="R344" s="2315">
        <v>0</v>
      </c>
      <c r="S344" s="2316">
        <v>0</v>
      </c>
      <c r="T344" s="2317">
        <v>0</v>
      </c>
      <c r="U344" s="2318">
        <v>0</v>
      </c>
      <c r="V344" s="2209">
        <v>0</v>
      </c>
      <c r="W344" s="2209">
        <v>0</v>
      </c>
      <c r="X344" s="2209">
        <v>0</v>
      </c>
      <c r="Y344" s="2348">
        <v>0</v>
      </c>
      <c r="Z344" s="1687" t="s">
        <v>72</v>
      </c>
      <c r="AA344" s="2379" t="s">
        <v>83</v>
      </c>
      <c r="AB344" s="2380" t="s">
        <v>497</v>
      </c>
      <c r="AC344" s="2381" t="s">
        <v>80</v>
      </c>
      <c r="AD344" s="2052" t="s">
        <v>89</v>
      </c>
      <c r="AE344" s="1688" t="s">
        <v>175</v>
      </c>
      <c r="AF344" s="1688"/>
    </row>
    <row r="345" spans="1:32" ht="26.4" outlineLevel="1" x14ac:dyDescent="0.25">
      <c r="A345" s="377" t="s">
        <v>726</v>
      </c>
      <c r="B345" s="1875" t="s">
        <v>75</v>
      </c>
      <c r="C345" s="1876" t="s">
        <v>727</v>
      </c>
      <c r="D345" s="1642" t="s">
        <v>1015</v>
      </c>
      <c r="E345" s="1877" t="s">
        <v>237</v>
      </c>
      <c r="F345" s="1878" t="s">
        <v>237</v>
      </c>
      <c r="G345" s="1879">
        <v>700</v>
      </c>
      <c r="H345" s="1439">
        <v>0</v>
      </c>
      <c r="I345" s="1440">
        <v>0</v>
      </c>
      <c r="J345" s="1441">
        <v>0</v>
      </c>
      <c r="K345" s="1442">
        <v>0</v>
      </c>
      <c r="L345" s="1443">
        <f t="shared" si="26"/>
        <v>0</v>
      </c>
      <c r="M345" s="1371">
        <v>0</v>
      </c>
      <c r="N345" s="238">
        <v>0</v>
      </c>
      <c r="O345" s="2338">
        <f t="shared" si="24"/>
        <v>0</v>
      </c>
      <c r="P345" s="2295">
        <v>700</v>
      </c>
      <c r="Q345" s="2343">
        <v>0</v>
      </c>
      <c r="R345" s="2341">
        <v>0</v>
      </c>
      <c r="S345" s="2342">
        <v>0</v>
      </c>
      <c r="T345" s="2343">
        <v>0</v>
      </c>
      <c r="U345" s="2204">
        <v>0</v>
      </c>
      <c r="V345" s="2177">
        <v>0</v>
      </c>
      <c r="W345" s="2177">
        <v>0</v>
      </c>
      <c r="X345" s="2177">
        <v>0</v>
      </c>
      <c r="Y345" s="2344">
        <v>0</v>
      </c>
      <c r="Z345" s="1808" t="s">
        <v>72</v>
      </c>
      <c r="AA345" s="2345" t="s">
        <v>8</v>
      </c>
      <c r="AB345" s="2346" t="s">
        <v>382</v>
      </c>
      <c r="AC345" s="2347" t="s">
        <v>79</v>
      </c>
      <c r="AD345" s="2104" t="s">
        <v>89</v>
      </c>
      <c r="AE345" s="1878" t="s">
        <v>173</v>
      </c>
      <c r="AF345" s="1878"/>
    </row>
    <row r="346" spans="1:32" ht="31.2" outlineLevel="1" x14ac:dyDescent="0.25">
      <c r="A346" s="886" t="s">
        <v>728</v>
      </c>
      <c r="B346" s="887" t="s">
        <v>1492</v>
      </c>
      <c r="C346" s="888" t="s">
        <v>731</v>
      </c>
      <c r="D346" s="40" t="s">
        <v>1015</v>
      </c>
      <c r="E346" s="989" t="s">
        <v>199</v>
      </c>
      <c r="F346" s="990" t="s">
        <v>199</v>
      </c>
      <c r="G346" s="889">
        <v>6900</v>
      </c>
      <c r="H346" s="890">
        <v>0</v>
      </c>
      <c r="I346" s="991">
        <v>5</v>
      </c>
      <c r="J346" s="992">
        <v>0</v>
      </c>
      <c r="K346" s="903">
        <v>5</v>
      </c>
      <c r="L346" s="904">
        <f t="shared" si="26"/>
        <v>442.09500000000025</v>
      </c>
      <c r="M346" s="891">
        <v>447.09500000000025</v>
      </c>
      <c r="N346" s="892">
        <v>0</v>
      </c>
      <c r="O346" s="892">
        <f t="shared" si="24"/>
        <v>447.09500000000025</v>
      </c>
      <c r="P346" s="64">
        <v>0</v>
      </c>
      <c r="Q346" s="897">
        <v>6452.9049999999997</v>
      </c>
      <c r="R346" s="895">
        <v>0</v>
      </c>
      <c r="S346" s="896">
        <v>0</v>
      </c>
      <c r="T346" s="897">
        <v>0</v>
      </c>
      <c r="U346" s="898">
        <v>0</v>
      </c>
      <c r="V346" s="190">
        <v>0</v>
      </c>
      <c r="W346" s="190">
        <v>0</v>
      </c>
      <c r="X346" s="190">
        <v>0</v>
      </c>
      <c r="Y346" s="900">
        <v>0</v>
      </c>
      <c r="Z346" s="119" t="s">
        <v>1831</v>
      </c>
      <c r="AA346" s="191" t="s">
        <v>8</v>
      </c>
      <c r="AB346" s="901" t="s">
        <v>735</v>
      </c>
      <c r="AC346" s="902" t="s">
        <v>79</v>
      </c>
      <c r="AD346" s="301" t="s">
        <v>89</v>
      </c>
      <c r="AE346" s="990" t="s">
        <v>560</v>
      </c>
      <c r="AF346" s="990"/>
    </row>
    <row r="347" spans="1:32" ht="31.2" outlineLevel="1" x14ac:dyDescent="0.25">
      <c r="A347" s="23" t="s">
        <v>729</v>
      </c>
      <c r="B347" s="1880" t="s">
        <v>1329</v>
      </c>
      <c r="C347" s="1894" t="s">
        <v>732</v>
      </c>
      <c r="D347" s="1687" t="s">
        <v>1015</v>
      </c>
      <c r="E347" s="1895" t="s">
        <v>199</v>
      </c>
      <c r="F347" s="1688" t="s">
        <v>199</v>
      </c>
      <c r="G347" s="1896">
        <v>809.92368999999997</v>
      </c>
      <c r="H347" s="1455">
        <v>0</v>
      </c>
      <c r="I347" s="1456">
        <v>809.92368999999997</v>
      </c>
      <c r="J347" s="1457">
        <v>0</v>
      </c>
      <c r="K347" s="1458">
        <v>809.92368999999997</v>
      </c>
      <c r="L347" s="1459">
        <f t="shared" si="26"/>
        <v>0</v>
      </c>
      <c r="M347" s="1376">
        <v>809.92368999999997</v>
      </c>
      <c r="N347" s="252">
        <v>0</v>
      </c>
      <c r="O347" s="2376">
        <f t="shared" si="24"/>
        <v>809.92368999999997</v>
      </c>
      <c r="P347" s="2377">
        <v>0</v>
      </c>
      <c r="Q347" s="2382">
        <v>0</v>
      </c>
      <c r="R347" s="2383">
        <v>0</v>
      </c>
      <c r="S347" s="2384">
        <v>0</v>
      </c>
      <c r="T347" s="2382">
        <v>0</v>
      </c>
      <c r="U347" s="1558">
        <v>0</v>
      </c>
      <c r="V347" s="2209">
        <v>0</v>
      </c>
      <c r="W347" s="2209">
        <v>0</v>
      </c>
      <c r="X347" s="2209">
        <v>0</v>
      </c>
      <c r="Y347" s="1605">
        <v>0</v>
      </c>
      <c r="Z347" s="1687" t="s">
        <v>72</v>
      </c>
      <c r="AA347" s="2379" t="s">
        <v>83</v>
      </c>
      <c r="AB347" s="2380" t="s">
        <v>986</v>
      </c>
      <c r="AC347" s="2381" t="s">
        <v>80</v>
      </c>
      <c r="AD347" s="2052" t="s">
        <v>89</v>
      </c>
      <c r="AE347" s="1688" t="s">
        <v>560</v>
      </c>
      <c r="AF347" s="1688"/>
    </row>
    <row r="348" spans="1:32" ht="26.4" outlineLevel="1" x14ac:dyDescent="0.25">
      <c r="A348" s="377" t="s">
        <v>730</v>
      </c>
      <c r="B348" s="1875" t="s">
        <v>1196</v>
      </c>
      <c r="C348" s="1876" t="s">
        <v>734</v>
      </c>
      <c r="D348" s="1642" t="s">
        <v>1015</v>
      </c>
      <c r="E348" s="1877" t="s">
        <v>199</v>
      </c>
      <c r="F348" s="1878" t="s">
        <v>199</v>
      </c>
      <c r="G348" s="1879">
        <v>6500</v>
      </c>
      <c r="H348" s="1439">
        <v>24.094729999999998</v>
      </c>
      <c r="I348" s="1440">
        <v>6392.0832000000009</v>
      </c>
      <c r="J348" s="1441">
        <v>18.491679999999999</v>
      </c>
      <c r="K348" s="1442">
        <v>6392.0832</v>
      </c>
      <c r="L348" s="1443">
        <f t="shared" si="26"/>
        <v>83.822070000000167</v>
      </c>
      <c r="M348" s="1341">
        <v>6475.9052700000002</v>
      </c>
      <c r="N348" s="238">
        <v>0</v>
      </c>
      <c r="O348" s="2338">
        <f t="shared" si="24"/>
        <v>6475.9052700000002</v>
      </c>
      <c r="P348" s="2295">
        <v>0</v>
      </c>
      <c r="Q348" s="2343">
        <v>0</v>
      </c>
      <c r="R348" s="2341">
        <v>0</v>
      </c>
      <c r="S348" s="2342">
        <v>0</v>
      </c>
      <c r="T348" s="2343">
        <v>0</v>
      </c>
      <c r="U348" s="2204">
        <v>0</v>
      </c>
      <c r="V348" s="2177">
        <v>0</v>
      </c>
      <c r="W348" s="2177">
        <v>0</v>
      </c>
      <c r="X348" s="2177">
        <v>0</v>
      </c>
      <c r="Y348" s="2344">
        <v>0</v>
      </c>
      <c r="Z348" s="1808" t="s">
        <v>72</v>
      </c>
      <c r="AA348" s="2345" t="s">
        <v>10</v>
      </c>
      <c r="AB348" s="2346" t="s">
        <v>382</v>
      </c>
      <c r="AC348" s="2347" t="s">
        <v>80</v>
      </c>
      <c r="AD348" s="2104" t="s">
        <v>89</v>
      </c>
      <c r="AE348" s="1878" t="s">
        <v>560</v>
      </c>
      <c r="AF348" s="1878"/>
    </row>
    <row r="349" spans="1:32" ht="47.4" outlineLevel="1" thickBot="1" x14ac:dyDescent="0.3">
      <c r="A349" s="405" t="s">
        <v>733</v>
      </c>
      <c r="B349" s="1882" t="s">
        <v>912</v>
      </c>
      <c r="C349" s="1883" t="s">
        <v>974</v>
      </c>
      <c r="D349" s="78" t="s">
        <v>1015</v>
      </c>
      <c r="E349" s="1785" t="s">
        <v>199</v>
      </c>
      <c r="F349" s="1663" t="s">
        <v>199</v>
      </c>
      <c r="G349" s="1884">
        <v>13000</v>
      </c>
      <c r="H349" s="1444">
        <v>467.38</v>
      </c>
      <c r="I349" s="1445">
        <v>2785.9313300000003</v>
      </c>
      <c r="J349" s="1446">
        <v>5964.6058300000004</v>
      </c>
      <c r="K349" s="1447">
        <v>2785.9313299999999</v>
      </c>
      <c r="L349" s="1448">
        <f t="shared" si="26"/>
        <v>9746.6886699999995</v>
      </c>
      <c r="M349" s="1364">
        <v>12532.619999999999</v>
      </c>
      <c r="N349" s="236">
        <v>0</v>
      </c>
      <c r="O349" s="2349">
        <f t="shared" si="24"/>
        <v>12532.619999999999</v>
      </c>
      <c r="P349" s="2350">
        <v>0</v>
      </c>
      <c r="Q349" s="2354">
        <v>0</v>
      </c>
      <c r="R349" s="2352">
        <v>0</v>
      </c>
      <c r="S349" s="2353">
        <v>0</v>
      </c>
      <c r="T349" s="2354">
        <v>0</v>
      </c>
      <c r="U349" s="1567">
        <v>0</v>
      </c>
      <c r="V349" s="2182">
        <v>0</v>
      </c>
      <c r="W349" s="2182">
        <v>0</v>
      </c>
      <c r="X349" s="2182">
        <v>0</v>
      </c>
      <c r="Y349" s="1600">
        <v>0</v>
      </c>
      <c r="Z349" s="1661" t="s">
        <v>72</v>
      </c>
      <c r="AA349" s="1670" t="s">
        <v>10</v>
      </c>
      <c r="AB349" s="2355" t="s">
        <v>1050</v>
      </c>
      <c r="AC349" s="2356" t="s">
        <v>80</v>
      </c>
      <c r="AD349" s="15" t="s">
        <v>89</v>
      </c>
      <c r="AE349" s="1663" t="s">
        <v>560</v>
      </c>
      <c r="AF349" s="1663"/>
    </row>
    <row r="350" spans="1:32" ht="31.2" outlineLevel="1" x14ac:dyDescent="0.25">
      <c r="A350" s="905" t="s">
        <v>754</v>
      </c>
      <c r="B350" s="1897" t="s">
        <v>975</v>
      </c>
      <c r="C350" s="1898" t="s">
        <v>33</v>
      </c>
      <c r="D350" s="1734" t="s">
        <v>1007</v>
      </c>
      <c r="E350" s="1899" t="s">
        <v>4</v>
      </c>
      <c r="F350" s="1900" t="s">
        <v>4</v>
      </c>
      <c r="G350" s="1901">
        <v>17397.026000000002</v>
      </c>
      <c r="H350" s="1460">
        <v>1964.0260000000001</v>
      </c>
      <c r="I350" s="1461">
        <v>0</v>
      </c>
      <c r="J350" s="1462">
        <v>0</v>
      </c>
      <c r="K350" s="1463">
        <v>0</v>
      </c>
      <c r="L350" s="1464">
        <f t="shared" si="26"/>
        <v>2933</v>
      </c>
      <c r="M350" s="1465">
        <v>2933</v>
      </c>
      <c r="N350" s="906">
        <v>0</v>
      </c>
      <c r="O350" s="2385">
        <f t="shared" si="24"/>
        <v>2933</v>
      </c>
      <c r="P350" s="2386">
        <v>2500</v>
      </c>
      <c r="Q350" s="2387">
        <v>10000</v>
      </c>
      <c r="R350" s="2388">
        <v>0</v>
      </c>
      <c r="S350" s="2389">
        <v>0</v>
      </c>
      <c r="T350" s="2387">
        <v>0</v>
      </c>
      <c r="U350" s="2390">
        <v>0</v>
      </c>
      <c r="V350" s="2391">
        <v>0</v>
      </c>
      <c r="W350" s="2391">
        <v>0</v>
      </c>
      <c r="X350" s="2391">
        <v>0</v>
      </c>
      <c r="Y350" s="2392">
        <v>0</v>
      </c>
      <c r="Z350" s="2393" t="s">
        <v>1832</v>
      </c>
      <c r="AA350" s="2394" t="s">
        <v>24</v>
      </c>
      <c r="AB350" s="2395" t="s">
        <v>1833</v>
      </c>
      <c r="AC350" s="2396" t="s">
        <v>80</v>
      </c>
      <c r="AD350" s="2397" t="s">
        <v>89</v>
      </c>
      <c r="AE350" s="1900" t="s">
        <v>388</v>
      </c>
      <c r="AF350" s="1900"/>
    </row>
    <row r="351" spans="1:32" ht="31.2" outlineLevel="1" x14ac:dyDescent="0.25">
      <c r="A351" s="258" t="s">
        <v>755</v>
      </c>
      <c r="B351" s="1851" t="s">
        <v>1459</v>
      </c>
      <c r="C351" s="1852" t="s">
        <v>756</v>
      </c>
      <c r="D351" s="1707" t="s">
        <v>1007</v>
      </c>
      <c r="E351" s="1853" t="s">
        <v>103</v>
      </c>
      <c r="F351" s="1854" t="s">
        <v>103</v>
      </c>
      <c r="G351" s="1855">
        <v>2215.6309999999999</v>
      </c>
      <c r="H351" s="1410">
        <v>0</v>
      </c>
      <c r="I351" s="1411">
        <v>2215.6309999999999</v>
      </c>
      <c r="J351" s="1412">
        <v>0</v>
      </c>
      <c r="K351" s="1413">
        <v>2215.6309999999999</v>
      </c>
      <c r="L351" s="1414">
        <f t="shared" si="26"/>
        <v>0</v>
      </c>
      <c r="M351" s="1415">
        <v>2990</v>
      </c>
      <c r="N351" s="259">
        <v>-774.36900000000003</v>
      </c>
      <c r="O351" s="2282">
        <f t="shared" si="24"/>
        <v>2215.6309999999999</v>
      </c>
      <c r="P351" s="2375">
        <v>0</v>
      </c>
      <c r="Q351" s="2287">
        <v>0</v>
      </c>
      <c r="R351" s="2285">
        <v>0</v>
      </c>
      <c r="S351" s="2286">
        <v>0</v>
      </c>
      <c r="T351" s="2287">
        <v>0</v>
      </c>
      <c r="U351" s="2288">
        <v>0</v>
      </c>
      <c r="V351" s="2289">
        <v>0</v>
      </c>
      <c r="W351" s="2289">
        <v>0</v>
      </c>
      <c r="X351" s="2289">
        <v>0</v>
      </c>
      <c r="Y351" s="2290">
        <v>0</v>
      </c>
      <c r="Z351" s="1812" t="s">
        <v>1834</v>
      </c>
      <c r="AA351" s="2291" t="s">
        <v>83</v>
      </c>
      <c r="AB351" s="2292" t="s">
        <v>747</v>
      </c>
      <c r="AC351" s="2293" t="s">
        <v>80</v>
      </c>
      <c r="AD351" s="2294" t="s">
        <v>89</v>
      </c>
      <c r="AE351" s="1854" t="s">
        <v>180</v>
      </c>
      <c r="AF351" s="1854"/>
    </row>
    <row r="352" spans="1:32" ht="26.4" outlineLevel="1" x14ac:dyDescent="0.25">
      <c r="A352" s="377" t="s">
        <v>757</v>
      </c>
      <c r="B352" s="1875" t="s">
        <v>1460</v>
      </c>
      <c r="C352" s="1876" t="s">
        <v>758</v>
      </c>
      <c r="D352" s="1642" t="s">
        <v>1007</v>
      </c>
      <c r="E352" s="1877" t="s">
        <v>103</v>
      </c>
      <c r="F352" s="1878" t="s">
        <v>103</v>
      </c>
      <c r="G352" s="1879">
        <v>2950</v>
      </c>
      <c r="H352" s="1439">
        <v>0</v>
      </c>
      <c r="I352" s="1440">
        <v>332.32650000000001</v>
      </c>
      <c r="J352" s="1441">
        <v>0</v>
      </c>
      <c r="K352" s="1442">
        <v>332.32650000000001</v>
      </c>
      <c r="L352" s="1443">
        <f t="shared" si="26"/>
        <v>12.67349999999999</v>
      </c>
      <c r="M352" s="1371">
        <v>345</v>
      </c>
      <c r="N352" s="238">
        <v>0</v>
      </c>
      <c r="O352" s="2338">
        <f t="shared" si="24"/>
        <v>345</v>
      </c>
      <c r="P352" s="2295">
        <v>2605</v>
      </c>
      <c r="Q352" s="2343">
        <v>0</v>
      </c>
      <c r="R352" s="2341">
        <v>0</v>
      </c>
      <c r="S352" s="2342">
        <v>0</v>
      </c>
      <c r="T352" s="2343">
        <v>0</v>
      </c>
      <c r="U352" s="2204">
        <v>0</v>
      </c>
      <c r="V352" s="2206">
        <v>0</v>
      </c>
      <c r="W352" s="2206">
        <v>0</v>
      </c>
      <c r="X352" s="2206">
        <v>0</v>
      </c>
      <c r="Y352" s="2344">
        <v>0</v>
      </c>
      <c r="Z352" s="1808" t="s">
        <v>72</v>
      </c>
      <c r="AA352" s="2345" t="s">
        <v>8</v>
      </c>
      <c r="AB352" s="2346" t="s">
        <v>1073</v>
      </c>
      <c r="AC352" s="2347" t="s">
        <v>79</v>
      </c>
      <c r="AD352" s="2104" t="s">
        <v>89</v>
      </c>
      <c r="AE352" s="1878" t="s">
        <v>180</v>
      </c>
      <c r="AF352" s="1878"/>
    </row>
    <row r="353" spans="1:32" ht="26.4" outlineLevel="1" x14ac:dyDescent="0.25">
      <c r="A353" s="258" t="s">
        <v>759</v>
      </c>
      <c r="B353" s="1851" t="s">
        <v>1191</v>
      </c>
      <c r="C353" s="1852" t="s">
        <v>760</v>
      </c>
      <c r="D353" s="1803" t="s">
        <v>1007</v>
      </c>
      <c r="E353" s="1853" t="s">
        <v>103</v>
      </c>
      <c r="F353" s="1854" t="s">
        <v>103</v>
      </c>
      <c r="G353" s="1855">
        <v>903.97648000000004</v>
      </c>
      <c r="H353" s="1410">
        <v>903.97648000000004</v>
      </c>
      <c r="I353" s="1411">
        <v>0</v>
      </c>
      <c r="J353" s="1412">
        <v>0</v>
      </c>
      <c r="K353" s="1413">
        <v>0</v>
      </c>
      <c r="L353" s="1414">
        <f t="shared" si="26"/>
        <v>0</v>
      </c>
      <c r="M353" s="1415">
        <v>306.02352000000002</v>
      </c>
      <c r="N353" s="259">
        <v>-306.02352000000002</v>
      </c>
      <c r="O353" s="2282">
        <f t="shared" si="24"/>
        <v>0</v>
      </c>
      <c r="P353" s="2375">
        <v>0</v>
      </c>
      <c r="Q353" s="2287">
        <v>0</v>
      </c>
      <c r="R353" s="2285">
        <v>0</v>
      </c>
      <c r="S353" s="2286">
        <v>0</v>
      </c>
      <c r="T353" s="2287">
        <v>0</v>
      </c>
      <c r="U353" s="2288">
        <v>0</v>
      </c>
      <c r="V353" s="2289">
        <v>0</v>
      </c>
      <c r="W353" s="2289">
        <v>0</v>
      </c>
      <c r="X353" s="2289">
        <v>0</v>
      </c>
      <c r="Y353" s="2290">
        <v>0</v>
      </c>
      <c r="Z353" s="1812" t="s">
        <v>1835</v>
      </c>
      <c r="AA353" s="2291" t="s">
        <v>83</v>
      </c>
      <c r="AB353" s="2292" t="s">
        <v>747</v>
      </c>
      <c r="AC353" s="2293" t="s">
        <v>80</v>
      </c>
      <c r="AD353" s="2294" t="s">
        <v>89</v>
      </c>
      <c r="AE353" s="1854" t="s">
        <v>180</v>
      </c>
      <c r="AF353" s="1854"/>
    </row>
    <row r="354" spans="1:32" ht="31.2" outlineLevel="1" x14ac:dyDescent="0.25">
      <c r="A354" s="256" t="s">
        <v>761</v>
      </c>
      <c r="B354" s="1863" t="s">
        <v>1314</v>
      </c>
      <c r="C354" s="1864" t="s">
        <v>762</v>
      </c>
      <c r="D354" s="1742" t="s">
        <v>1007</v>
      </c>
      <c r="E354" s="1865" t="s">
        <v>242</v>
      </c>
      <c r="F354" s="1866" t="s">
        <v>242</v>
      </c>
      <c r="G354" s="1867">
        <v>180.29</v>
      </c>
      <c r="H354" s="1427">
        <v>0</v>
      </c>
      <c r="I354" s="1428">
        <v>180.29</v>
      </c>
      <c r="J354" s="1429">
        <v>0</v>
      </c>
      <c r="K354" s="1430">
        <v>180.29</v>
      </c>
      <c r="L354" s="1431">
        <f t="shared" si="26"/>
        <v>0</v>
      </c>
      <c r="M354" s="1432">
        <v>180.29</v>
      </c>
      <c r="N354" s="257">
        <v>0</v>
      </c>
      <c r="O354" s="2312">
        <f t="shared" si="24"/>
        <v>180.29</v>
      </c>
      <c r="P354" s="2377">
        <v>0</v>
      </c>
      <c r="Q354" s="2317">
        <v>0</v>
      </c>
      <c r="R354" s="2315">
        <v>0</v>
      </c>
      <c r="S354" s="2316">
        <v>0</v>
      </c>
      <c r="T354" s="2317">
        <v>0</v>
      </c>
      <c r="U354" s="2318">
        <v>0</v>
      </c>
      <c r="V354" s="2319">
        <v>0</v>
      </c>
      <c r="W354" s="2319">
        <v>0</v>
      </c>
      <c r="X354" s="2319">
        <v>0</v>
      </c>
      <c r="Y354" s="2348">
        <v>0</v>
      </c>
      <c r="Z354" s="1814" t="s">
        <v>72</v>
      </c>
      <c r="AA354" s="2320" t="s">
        <v>83</v>
      </c>
      <c r="AB354" s="2321" t="s">
        <v>986</v>
      </c>
      <c r="AC354" s="2322" t="s">
        <v>80</v>
      </c>
      <c r="AD354" s="2323" t="s">
        <v>89</v>
      </c>
      <c r="AE354" s="1866" t="s">
        <v>174</v>
      </c>
      <c r="AF354" s="1866"/>
    </row>
    <row r="355" spans="1:32" ht="31.2" outlineLevel="1" x14ac:dyDescent="0.25">
      <c r="A355" s="886" t="s">
        <v>763</v>
      </c>
      <c r="B355" s="887" t="s">
        <v>75</v>
      </c>
      <c r="C355" s="888" t="s">
        <v>764</v>
      </c>
      <c r="D355" s="41" t="s">
        <v>1007</v>
      </c>
      <c r="E355" s="989" t="s">
        <v>465</v>
      </c>
      <c r="F355" s="990" t="s">
        <v>465</v>
      </c>
      <c r="G355" s="889">
        <v>375.65</v>
      </c>
      <c r="H355" s="890">
        <v>0</v>
      </c>
      <c r="I355" s="991">
        <v>0</v>
      </c>
      <c r="J355" s="992">
        <v>0</v>
      </c>
      <c r="K355" s="903">
        <v>0</v>
      </c>
      <c r="L355" s="904">
        <f t="shared" si="26"/>
        <v>0</v>
      </c>
      <c r="M355" s="891">
        <v>375.65</v>
      </c>
      <c r="N355" s="892">
        <v>-375.65</v>
      </c>
      <c r="O355" s="892">
        <f t="shared" si="24"/>
        <v>0</v>
      </c>
      <c r="P355" s="64">
        <v>375.65</v>
      </c>
      <c r="Q355" s="897">
        <v>0</v>
      </c>
      <c r="R355" s="895">
        <v>0</v>
      </c>
      <c r="S355" s="896">
        <v>0</v>
      </c>
      <c r="T355" s="897">
        <v>0</v>
      </c>
      <c r="U355" s="898">
        <v>0</v>
      </c>
      <c r="V355" s="899">
        <v>0</v>
      </c>
      <c r="W355" s="899">
        <v>0</v>
      </c>
      <c r="X355" s="899">
        <v>0</v>
      </c>
      <c r="Y355" s="900">
        <v>0</v>
      </c>
      <c r="Z355" s="119" t="s">
        <v>1315</v>
      </c>
      <c r="AA355" s="191" t="s">
        <v>8</v>
      </c>
      <c r="AB355" s="901" t="s">
        <v>1050</v>
      </c>
      <c r="AC355" s="902" t="s">
        <v>79</v>
      </c>
      <c r="AD355" s="301" t="s">
        <v>89</v>
      </c>
      <c r="AE355" s="990" t="s">
        <v>180</v>
      </c>
      <c r="AF355" s="990"/>
    </row>
    <row r="356" spans="1:32" ht="26.4" outlineLevel="1" x14ac:dyDescent="0.25">
      <c r="A356" s="886" t="s">
        <v>765</v>
      </c>
      <c r="B356" s="887" t="s">
        <v>75</v>
      </c>
      <c r="C356" s="888" t="s">
        <v>766</v>
      </c>
      <c r="D356" s="40" t="s">
        <v>1007</v>
      </c>
      <c r="E356" s="989" t="s">
        <v>465</v>
      </c>
      <c r="F356" s="990" t="s">
        <v>465</v>
      </c>
      <c r="G356" s="889">
        <v>1750</v>
      </c>
      <c r="H356" s="890">
        <v>0</v>
      </c>
      <c r="I356" s="991">
        <v>0</v>
      </c>
      <c r="J356" s="992">
        <v>0</v>
      </c>
      <c r="K356" s="903">
        <v>0</v>
      </c>
      <c r="L356" s="904">
        <f t="shared" si="26"/>
        <v>200</v>
      </c>
      <c r="M356" s="891">
        <v>0</v>
      </c>
      <c r="N356" s="892">
        <v>200</v>
      </c>
      <c r="O356" s="892">
        <f t="shared" si="24"/>
        <v>200</v>
      </c>
      <c r="P356" s="64">
        <v>400</v>
      </c>
      <c r="Q356" s="897">
        <v>1150</v>
      </c>
      <c r="R356" s="895">
        <v>0</v>
      </c>
      <c r="S356" s="896">
        <v>0</v>
      </c>
      <c r="T356" s="897">
        <v>0</v>
      </c>
      <c r="U356" s="898">
        <v>0</v>
      </c>
      <c r="V356" s="899">
        <v>0</v>
      </c>
      <c r="W356" s="899">
        <v>0</v>
      </c>
      <c r="X356" s="899">
        <v>0</v>
      </c>
      <c r="Y356" s="900">
        <v>0</v>
      </c>
      <c r="Z356" s="119" t="s">
        <v>1836</v>
      </c>
      <c r="AA356" s="191" t="s">
        <v>8</v>
      </c>
      <c r="AB356" s="901" t="s">
        <v>1837</v>
      </c>
      <c r="AC356" s="902" t="s">
        <v>79</v>
      </c>
      <c r="AD356" s="301" t="s">
        <v>89</v>
      </c>
      <c r="AE356" s="990" t="s">
        <v>180</v>
      </c>
      <c r="AF356" s="990"/>
    </row>
    <row r="357" spans="1:32" ht="26.4" outlineLevel="1" x14ac:dyDescent="0.25">
      <c r="A357" s="377" t="s">
        <v>767</v>
      </c>
      <c r="B357" s="1875" t="s">
        <v>75</v>
      </c>
      <c r="C357" s="1876" t="s">
        <v>768</v>
      </c>
      <c r="D357" s="1629" t="s">
        <v>1007</v>
      </c>
      <c r="E357" s="1877" t="s">
        <v>465</v>
      </c>
      <c r="F357" s="1878" t="s">
        <v>465</v>
      </c>
      <c r="G357" s="1879">
        <v>726</v>
      </c>
      <c r="H357" s="1439">
        <v>0</v>
      </c>
      <c r="I357" s="1440">
        <v>0</v>
      </c>
      <c r="J357" s="1441">
        <v>0</v>
      </c>
      <c r="K357" s="1442">
        <v>0</v>
      </c>
      <c r="L357" s="1443">
        <f t="shared" si="26"/>
        <v>726</v>
      </c>
      <c r="M357" s="1371">
        <v>726</v>
      </c>
      <c r="N357" s="238">
        <v>0</v>
      </c>
      <c r="O357" s="2338">
        <f t="shared" si="24"/>
        <v>726</v>
      </c>
      <c r="P357" s="2295">
        <v>0</v>
      </c>
      <c r="Q357" s="2343">
        <v>0</v>
      </c>
      <c r="R357" s="2341">
        <v>0</v>
      </c>
      <c r="S357" s="2342">
        <v>0</v>
      </c>
      <c r="T357" s="2343">
        <v>0</v>
      </c>
      <c r="U357" s="2204">
        <v>0</v>
      </c>
      <c r="V357" s="2206">
        <v>0</v>
      </c>
      <c r="W357" s="2206">
        <v>0</v>
      </c>
      <c r="X357" s="2206">
        <v>0</v>
      </c>
      <c r="Y357" s="2344">
        <v>0</v>
      </c>
      <c r="Z357" s="1808" t="s">
        <v>72</v>
      </c>
      <c r="AA357" s="2345" t="s">
        <v>10</v>
      </c>
      <c r="AB357" s="2346" t="s">
        <v>382</v>
      </c>
      <c r="AC357" s="2347" t="s">
        <v>80</v>
      </c>
      <c r="AD357" s="2104" t="s">
        <v>89</v>
      </c>
      <c r="AE357" s="1878" t="s">
        <v>180</v>
      </c>
      <c r="AF357" s="1878"/>
    </row>
    <row r="358" spans="1:32" ht="31.2" outlineLevel="1" x14ac:dyDescent="0.25">
      <c r="A358" s="377" t="s">
        <v>769</v>
      </c>
      <c r="B358" s="1875" t="s">
        <v>75</v>
      </c>
      <c r="C358" s="1876" t="s">
        <v>770</v>
      </c>
      <c r="D358" s="1642" t="s">
        <v>1007</v>
      </c>
      <c r="E358" s="1877" t="s">
        <v>465</v>
      </c>
      <c r="F358" s="1878" t="s">
        <v>465</v>
      </c>
      <c r="G358" s="1879">
        <v>200</v>
      </c>
      <c r="H358" s="1439">
        <v>0</v>
      </c>
      <c r="I358" s="1440">
        <v>0</v>
      </c>
      <c r="J358" s="1441">
        <v>0</v>
      </c>
      <c r="K358" s="1442">
        <v>0</v>
      </c>
      <c r="L358" s="1443">
        <f t="shared" si="26"/>
        <v>200</v>
      </c>
      <c r="M358" s="1371">
        <v>200</v>
      </c>
      <c r="N358" s="441">
        <v>0</v>
      </c>
      <c r="O358" s="2338">
        <f t="shared" ref="O358:O411" si="27">M358+N358</f>
        <v>200</v>
      </c>
      <c r="P358" s="2295">
        <v>0</v>
      </c>
      <c r="Q358" s="2343">
        <v>0</v>
      </c>
      <c r="R358" s="2341">
        <v>0</v>
      </c>
      <c r="S358" s="2342">
        <v>0</v>
      </c>
      <c r="T358" s="2343">
        <v>0</v>
      </c>
      <c r="U358" s="2204">
        <v>0</v>
      </c>
      <c r="V358" s="2206">
        <v>0</v>
      </c>
      <c r="W358" s="2206">
        <v>0</v>
      </c>
      <c r="X358" s="2206">
        <v>0</v>
      </c>
      <c r="Y358" s="2344">
        <v>0</v>
      </c>
      <c r="Z358" s="1808" t="s">
        <v>72</v>
      </c>
      <c r="AA358" s="2345" t="s">
        <v>10</v>
      </c>
      <c r="AB358" s="2346" t="s">
        <v>382</v>
      </c>
      <c r="AC358" s="2347" t="s">
        <v>80</v>
      </c>
      <c r="AD358" s="2104" t="s">
        <v>89</v>
      </c>
      <c r="AE358" s="1878" t="s">
        <v>180</v>
      </c>
      <c r="AF358" s="1878"/>
    </row>
    <row r="359" spans="1:32" ht="46.8" outlineLevel="1" x14ac:dyDescent="0.25">
      <c r="A359" s="258" t="s">
        <v>771</v>
      </c>
      <c r="B359" s="1851" t="s">
        <v>976</v>
      </c>
      <c r="C359" s="1852" t="s">
        <v>772</v>
      </c>
      <c r="D359" s="1803" t="s">
        <v>1007</v>
      </c>
      <c r="E359" s="1853" t="s">
        <v>30</v>
      </c>
      <c r="F359" s="1854" t="s">
        <v>30</v>
      </c>
      <c r="G359" s="1855">
        <v>50.018380000000001</v>
      </c>
      <c r="H359" s="1410">
        <v>50.018380000000001</v>
      </c>
      <c r="I359" s="1411">
        <v>0</v>
      </c>
      <c r="J359" s="1412">
        <v>0</v>
      </c>
      <c r="K359" s="1413">
        <v>0</v>
      </c>
      <c r="L359" s="1414">
        <f t="shared" ref="L359:L390" si="28">O359-K359</f>
        <v>0</v>
      </c>
      <c r="M359" s="1415">
        <v>0</v>
      </c>
      <c r="N359" s="918">
        <v>0</v>
      </c>
      <c r="O359" s="2282">
        <f t="shared" si="27"/>
        <v>0</v>
      </c>
      <c r="P359" s="2375">
        <v>0</v>
      </c>
      <c r="Q359" s="2287">
        <v>0</v>
      </c>
      <c r="R359" s="2285">
        <v>0</v>
      </c>
      <c r="S359" s="2286">
        <v>0</v>
      </c>
      <c r="T359" s="2287">
        <v>0</v>
      </c>
      <c r="U359" s="2288">
        <v>0</v>
      </c>
      <c r="V359" s="2289">
        <v>0</v>
      </c>
      <c r="W359" s="2289">
        <v>0</v>
      </c>
      <c r="X359" s="2289">
        <v>0</v>
      </c>
      <c r="Y359" s="2290">
        <v>0</v>
      </c>
      <c r="Z359" s="1803" t="s">
        <v>1838</v>
      </c>
      <c r="AA359" s="2291" t="s">
        <v>83</v>
      </c>
      <c r="AB359" s="2292" t="s">
        <v>747</v>
      </c>
      <c r="AC359" s="2293" t="s">
        <v>80</v>
      </c>
      <c r="AD359" s="2294" t="s">
        <v>89</v>
      </c>
      <c r="AE359" s="1854" t="s">
        <v>175</v>
      </c>
      <c r="AF359" s="1854"/>
    </row>
    <row r="360" spans="1:32" ht="26.4" outlineLevel="1" x14ac:dyDescent="0.25">
      <c r="A360" s="886" t="s">
        <v>773</v>
      </c>
      <c r="B360" s="887" t="s">
        <v>75</v>
      </c>
      <c r="C360" s="888" t="s">
        <v>260</v>
      </c>
      <c r="D360" s="40" t="s">
        <v>1007</v>
      </c>
      <c r="E360" s="989" t="s">
        <v>199</v>
      </c>
      <c r="F360" s="990" t="s">
        <v>199</v>
      </c>
      <c r="G360" s="889">
        <v>10562.5</v>
      </c>
      <c r="H360" s="890">
        <v>0</v>
      </c>
      <c r="I360" s="991">
        <v>0</v>
      </c>
      <c r="J360" s="992">
        <v>0</v>
      </c>
      <c r="K360" s="903">
        <v>0</v>
      </c>
      <c r="L360" s="904">
        <f t="shared" si="28"/>
        <v>0</v>
      </c>
      <c r="M360" s="891">
        <v>0</v>
      </c>
      <c r="N360" s="892">
        <v>0</v>
      </c>
      <c r="O360" s="892">
        <f t="shared" si="27"/>
        <v>0</v>
      </c>
      <c r="P360" s="64">
        <v>0</v>
      </c>
      <c r="Q360" s="897">
        <v>10562.5</v>
      </c>
      <c r="R360" s="895">
        <v>0</v>
      </c>
      <c r="S360" s="896">
        <v>0</v>
      </c>
      <c r="T360" s="897">
        <v>0</v>
      </c>
      <c r="U360" s="898">
        <v>0</v>
      </c>
      <c r="V360" s="899">
        <v>0</v>
      </c>
      <c r="W360" s="899">
        <v>0</v>
      </c>
      <c r="X360" s="899">
        <v>0</v>
      </c>
      <c r="Y360" s="900">
        <v>0</v>
      </c>
      <c r="Z360" s="119" t="s">
        <v>1839</v>
      </c>
      <c r="AA360" s="191" t="s">
        <v>8</v>
      </c>
      <c r="AB360" s="901" t="s">
        <v>1316</v>
      </c>
      <c r="AC360" s="902" t="s">
        <v>79</v>
      </c>
      <c r="AD360" s="301" t="s">
        <v>90</v>
      </c>
      <c r="AE360" s="990" t="s">
        <v>560</v>
      </c>
      <c r="AF360" s="990"/>
    </row>
    <row r="361" spans="1:32" ht="26.4" outlineLevel="1" x14ac:dyDescent="0.25">
      <c r="A361" s="256" t="s">
        <v>774</v>
      </c>
      <c r="B361" s="1863" t="s">
        <v>1384</v>
      </c>
      <c r="C361" s="1864" t="s">
        <v>775</v>
      </c>
      <c r="D361" s="1687" t="s">
        <v>1007</v>
      </c>
      <c r="E361" s="1865" t="s">
        <v>199</v>
      </c>
      <c r="F361" s="1866" t="s">
        <v>199</v>
      </c>
      <c r="G361" s="1867">
        <v>300</v>
      </c>
      <c r="H361" s="1427">
        <v>0</v>
      </c>
      <c r="I361" s="1428">
        <v>300</v>
      </c>
      <c r="J361" s="1429">
        <v>0</v>
      </c>
      <c r="K361" s="1430">
        <v>300</v>
      </c>
      <c r="L361" s="1431">
        <f t="shared" si="28"/>
        <v>0</v>
      </c>
      <c r="M361" s="1432">
        <v>300</v>
      </c>
      <c r="N361" s="257">
        <v>0</v>
      </c>
      <c r="O361" s="2312">
        <f t="shared" si="27"/>
        <v>300</v>
      </c>
      <c r="P361" s="2377">
        <v>0</v>
      </c>
      <c r="Q361" s="2317">
        <v>0</v>
      </c>
      <c r="R361" s="2315">
        <v>0</v>
      </c>
      <c r="S361" s="2316">
        <v>0</v>
      </c>
      <c r="T361" s="2317">
        <v>0</v>
      </c>
      <c r="U361" s="2318">
        <v>0</v>
      </c>
      <c r="V361" s="2319">
        <v>0</v>
      </c>
      <c r="W361" s="2319">
        <v>0</v>
      </c>
      <c r="X361" s="2319">
        <v>0</v>
      </c>
      <c r="Y361" s="2348">
        <v>0</v>
      </c>
      <c r="Z361" s="1814" t="s">
        <v>72</v>
      </c>
      <c r="AA361" s="2320" t="s">
        <v>83</v>
      </c>
      <c r="AB361" s="2321" t="s">
        <v>677</v>
      </c>
      <c r="AC361" s="2322" t="s">
        <v>80</v>
      </c>
      <c r="AD361" s="2323" t="s">
        <v>89</v>
      </c>
      <c r="AE361" s="1866" t="s">
        <v>560</v>
      </c>
      <c r="AF361" s="1866"/>
    </row>
    <row r="362" spans="1:32" ht="26.4" outlineLevel="1" x14ac:dyDescent="0.25">
      <c r="A362" s="256" t="s">
        <v>776</v>
      </c>
      <c r="B362" s="1863" t="s">
        <v>1330</v>
      </c>
      <c r="C362" s="1864" t="s">
        <v>777</v>
      </c>
      <c r="D362" s="1742" t="s">
        <v>1007</v>
      </c>
      <c r="E362" s="1865" t="s">
        <v>199</v>
      </c>
      <c r="F362" s="1866" t="s">
        <v>199</v>
      </c>
      <c r="G362" s="1867">
        <v>1156.7157099999999</v>
      </c>
      <c r="H362" s="1427">
        <v>0</v>
      </c>
      <c r="I362" s="1428">
        <v>1156.7157099999999</v>
      </c>
      <c r="J362" s="1429">
        <v>0</v>
      </c>
      <c r="K362" s="1430">
        <v>1156.7157099999999</v>
      </c>
      <c r="L362" s="1431">
        <f t="shared" si="28"/>
        <v>0</v>
      </c>
      <c r="M362" s="1432">
        <v>1156.7157099999999</v>
      </c>
      <c r="N362" s="257">
        <v>0</v>
      </c>
      <c r="O362" s="2312">
        <f t="shared" si="27"/>
        <v>1156.7157099999999</v>
      </c>
      <c r="P362" s="2377">
        <v>0</v>
      </c>
      <c r="Q362" s="2317">
        <v>0</v>
      </c>
      <c r="R362" s="2315">
        <v>0</v>
      </c>
      <c r="S362" s="2316">
        <v>0</v>
      </c>
      <c r="T362" s="2317">
        <v>0</v>
      </c>
      <c r="U362" s="2318">
        <v>0</v>
      </c>
      <c r="V362" s="2319">
        <v>0</v>
      </c>
      <c r="W362" s="2319">
        <v>0</v>
      </c>
      <c r="X362" s="2319">
        <v>0</v>
      </c>
      <c r="Y362" s="2348">
        <v>0</v>
      </c>
      <c r="Z362" s="1814" t="s">
        <v>72</v>
      </c>
      <c r="AA362" s="2320" t="s">
        <v>83</v>
      </c>
      <c r="AB362" s="2321" t="s">
        <v>986</v>
      </c>
      <c r="AC362" s="2322" t="s">
        <v>80</v>
      </c>
      <c r="AD362" s="2323" t="s">
        <v>89</v>
      </c>
      <c r="AE362" s="1866" t="s">
        <v>560</v>
      </c>
      <c r="AF362" s="1866"/>
    </row>
    <row r="363" spans="1:32" ht="26.4" outlineLevel="1" x14ac:dyDescent="0.25">
      <c r="A363" s="256" t="s">
        <v>778</v>
      </c>
      <c r="B363" s="1863" t="s">
        <v>1385</v>
      </c>
      <c r="C363" s="1864" t="s">
        <v>779</v>
      </c>
      <c r="D363" s="1687" t="s">
        <v>1007</v>
      </c>
      <c r="E363" s="1865" t="s">
        <v>199</v>
      </c>
      <c r="F363" s="1866" t="s">
        <v>199</v>
      </c>
      <c r="G363" s="1867">
        <v>250</v>
      </c>
      <c r="H363" s="1427">
        <v>0</v>
      </c>
      <c r="I363" s="1428">
        <v>250</v>
      </c>
      <c r="J363" s="1429">
        <v>0</v>
      </c>
      <c r="K363" s="1430">
        <v>250</v>
      </c>
      <c r="L363" s="1431">
        <f t="shared" si="28"/>
        <v>0</v>
      </c>
      <c r="M363" s="1432">
        <v>250</v>
      </c>
      <c r="N363" s="257">
        <v>0</v>
      </c>
      <c r="O363" s="2312">
        <f t="shared" si="27"/>
        <v>250</v>
      </c>
      <c r="P363" s="2377">
        <v>0</v>
      </c>
      <c r="Q363" s="2317">
        <v>0</v>
      </c>
      <c r="R363" s="2315">
        <v>0</v>
      </c>
      <c r="S363" s="2316">
        <v>0</v>
      </c>
      <c r="T363" s="2317">
        <v>0</v>
      </c>
      <c r="U363" s="2318">
        <v>0</v>
      </c>
      <c r="V363" s="2319">
        <v>0</v>
      </c>
      <c r="W363" s="2319">
        <v>0</v>
      </c>
      <c r="X363" s="2319">
        <v>0</v>
      </c>
      <c r="Y363" s="2348">
        <v>0</v>
      </c>
      <c r="Z363" s="1814" t="s">
        <v>72</v>
      </c>
      <c r="AA363" s="2320" t="s">
        <v>83</v>
      </c>
      <c r="AB363" s="2321" t="s">
        <v>677</v>
      </c>
      <c r="AC363" s="2322" t="s">
        <v>80</v>
      </c>
      <c r="AD363" s="2323" t="s">
        <v>89</v>
      </c>
      <c r="AE363" s="1866" t="s">
        <v>560</v>
      </c>
      <c r="AF363" s="1866"/>
    </row>
    <row r="364" spans="1:32" ht="26.4" outlineLevel="1" x14ac:dyDescent="0.25">
      <c r="A364" s="256" t="s">
        <v>780</v>
      </c>
      <c r="B364" s="1863" t="s">
        <v>1332</v>
      </c>
      <c r="C364" s="1864" t="s">
        <v>781</v>
      </c>
      <c r="D364" s="1687" t="s">
        <v>1007</v>
      </c>
      <c r="E364" s="1865" t="s">
        <v>34</v>
      </c>
      <c r="F364" s="1866" t="s">
        <v>34</v>
      </c>
      <c r="G364" s="1867">
        <v>368.78899999999999</v>
      </c>
      <c r="H364" s="1427">
        <v>0</v>
      </c>
      <c r="I364" s="1428">
        <v>368.78899999999999</v>
      </c>
      <c r="J364" s="1429">
        <v>0</v>
      </c>
      <c r="K364" s="1430">
        <v>368.78899999999999</v>
      </c>
      <c r="L364" s="1431">
        <f t="shared" si="28"/>
        <v>0</v>
      </c>
      <c r="M364" s="1432">
        <v>368.78899999999999</v>
      </c>
      <c r="N364" s="257">
        <v>0</v>
      </c>
      <c r="O364" s="2312">
        <f t="shared" si="27"/>
        <v>368.78899999999999</v>
      </c>
      <c r="P364" s="2377">
        <v>0</v>
      </c>
      <c r="Q364" s="2317">
        <v>0</v>
      </c>
      <c r="R364" s="2315">
        <v>0</v>
      </c>
      <c r="S364" s="2316">
        <v>0</v>
      </c>
      <c r="T364" s="2317">
        <v>0</v>
      </c>
      <c r="U364" s="2318">
        <v>0</v>
      </c>
      <c r="V364" s="2319">
        <v>0</v>
      </c>
      <c r="W364" s="2319">
        <v>0</v>
      </c>
      <c r="X364" s="2319">
        <v>0</v>
      </c>
      <c r="Y364" s="2348">
        <v>0</v>
      </c>
      <c r="Z364" s="1814" t="s">
        <v>72</v>
      </c>
      <c r="AA364" s="2320" t="s">
        <v>83</v>
      </c>
      <c r="AB364" s="2321" t="s">
        <v>986</v>
      </c>
      <c r="AC364" s="2322" t="s">
        <v>80</v>
      </c>
      <c r="AD364" s="2323" t="s">
        <v>89</v>
      </c>
      <c r="AE364" s="1866" t="s">
        <v>167</v>
      </c>
      <c r="AF364" s="1866"/>
    </row>
    <row r="365" spans="1:32" ht="46.8" outlineLevel="1" x14ac:dyDescent="0.25">
      <c r="A365" s="256" t="s">
        <v>782</v>
      </c>
      <c r="B365" s="1863" t="s">
        <v>1333</v>
      </c>
      <c r="C365" s="1864" t="s">
        <v>783</v>
      </c>
      <c r="D365" s="1742" t="s">
        <v>1007</v>
      </c>
      <c r="E365" s="1865" t="s">
        <v>34</v>
      </c>
      <c r="F365" s="1866" t="s">
        <v>34</v>
      </c>
      <c r="G365" s="1867">
        <v>290.39999999999998</v>
      </c>
      <c r="H365" s="1427">
        <v>0</v>
      </c>
      <c r="I365" s="1428">
        <v>290.39999999999998</v>
      </c>
      <c r="J365" s="1429">
        <v>0</v>
      </c>
      <c r="K365" s="1430">
        <v>290.39999999999998</v>
      </c>
      <c r="L365" s="1431">
        <f t="shared" si="28"/>
        <v>0</v>
      </c>
      <c r="M365" s="1432">
        <v>290.39999999999998</v>
      </c>
      <c r="N365" s="257">
        <v>0</v>
      </c>
      <c r="O365" s="2312">
        <f t="shared" si="27"/>
        <v>290.39999999999998</v>
      </c>
      <c r="P365" s="2377">
        <v>0</v>
      </c>
      <c r="Q365" s="2317">
        <v>0</v>
      </c>
      <c r="R365" s="2315">
        <v>0</v>
      </c>
      <c r="S365" s="2316">
        <v>0</v>
      </c>
      <c r="T365" s="2317">
        <v>0</v>
      </c>
      <c r="U365" s="2318">
        <v>0</v>
      </c>
      <c r="V365" s="2319">
        <v>0</v>
      </c>
      <c r="W365" s="2319">
        <v>0</v>
      </c>
      <c r="X365" s="2319">
        <v>0</v>
      </c>
      <c r="Y365" s="2348">
        <v>0</v>
      </c>
      <c r="Z365" s="1814" t="s">
        <v>72</v>
      </c>
      <c r="AA365" s="2320" t="s">
        <v>83</v>
      </c>
      <c r="AB365" s="2321" t="s">
        <v>986</v>
      </c>
      <c r="AC365" s="2322" t="s">
        <v>80</v>
      </c>
      <c r="AD365" s="2323" t="s">
        <v>89</v>
      </c>
      <c r="AE365" s="1866" t="s">
        <v>167</v>
      </c>
      <c r="AF365" s="1866"/>
    </row>
    <row r="366" spans="1:32" ht="31.2" outlineLevel="1" x14ac:dyDescent="0.25">
      <c r="A366" s="256" t="s">
        <v>784</v>
      </c>
      <c r="B366" s="1863" t="s">
        <v>1334</v>
      </c>
      <c r="C366" s="1864" t="s">
        <v>785</v>
      </c>
      <c r="D366" s="1687" t="s">
        <v>1007</v>
      </c>
      <c r="E366" s="1865" t="s">
        <v>34</v>
      </c>
      <c r="F366" s="1866" t="s">
        <v>34</v>
      </c>
      <c r="G366" s="1867">
        <v>1015.652</v>
      </c>
      <c r="H366" s="1427">
        <v>0</v>
      </c>
      <c r="I366" s="1428">
        <v>1015.652</v>
      </c>
      <c r="J366" s="1429">
        <v>0</v>
      </c>
      <c r="K366" s="1430">
        <v>1015.652</v>
      </c>
      <c r="L366" s="1431">
        <f t="shared" si="28"/>
        <v>0</v>
      </c>
      <c r="M366" s="1432">
        <v>1015.652</v>
      </c>
      <c r="N366" s="257">
        <v>0</v>
      </c>
      <c r="O366" s="2312">
        <f t="shared" si="27"/>
        <v>1015.652</v>
      </c>
      <c r="P366" s="2377">
        <v>0</v>
      </c>
      <c r="Q366" s="2317">
        <v>0</v>
      </c>
      <c r="R366" s="2315">
        <v>0</v>
      </c>
      <c r="S366" s="2316">
        <v>0</v>
      </c>
      <c r="T366" s="2317">
        <v>0</v>
      </c>
      <c r="U366" s="2318">
        <v>0</v>
      </c>
      <c r="V366" s="2319">
        <v>0</v>
      </c>
      <c r="W366" s="2319">
        <v>0</v>
      </c>
      <c r="X366" s="2319">
        <v>0</v>
      </c>
      <c r="Y366" s="2348">
        <v>0</v>
      </c>
      <c r="Z366" s="1814" t="s">
        <v>72</v>
      </c>
      <c r="AA366" s="2320" t="s">
        <v>83</v>
      </c>
      <c r="AB366" s="2321" t="s">
        <v>677</v>
      </c>
      <c r="AC366" s="2322" t="s">
        <v>80</v>
      </c>
      <c r="AD366" s="2323" t="s">
        <v>89</v>
      </c>
      <c r="AE366" s="1866" t="s">
        <v>167</v>
      </c>
      <c r="AF366" s="1866"/>
    </row>
    <row r="367" spans="1:32" ht="26.4" outlineLevel="1" x14ac:dyDescent="0.25">
      <c r="A367" s="256" t="s">
        <v>786</v>
      </c>
      <c r="B367" s="1863" t="s">
        <v>1335</v>
      </c>
      <c r="C367" s="1864" t="s">
        <v>787</v>
      </c>
      <c r="D367" s="1687" t="s">
        <v>1007</v>
      </c>
      <c r="E367" s="1865" t="s">
        <v>34</v>
      </c>
      <c r="F367" s="1866" t="s">
        <v>34</v>
      </c>
      <c r="G367" s="1867">
        <v>181.5</v>
      </c>
      <c r="H367" s="1427">
        <v>0</v>
      </c>
      <c r="I367" s="1428">
        <v>181.5</v>
      </c>
      <c r="J367" s="1429">
        <v>0</v>
      </c>
      <c r="K367" s="1430">
        <v>181.5</v>
      </c>
      <c r="L367" s="1431">
        <f t="shared" si="28"/>
        <v>0</v>
      </c>
      <c r="M367" s="1432">
        <v>181.5</v>
      </c>
      <c r="N367" s="257">
        <v>0</v>
      </c>
      <c r="O367" s="2312">
        <f t="shared" si="27"/>
        <v>181.5</v>
      </c>
      <c r="P367" s="2377">
        <v>0</v>
      </c>
      <c r="Q367" s="2317">
        <v>0</v>
      </c>
      <c r="R367" s="2315">
        <v>0</v>
      </c>
      <c r="S367" s="2316">
        <v>0</v>
      </c>
      <c r="T367" s="2317">
        <v>0</v>
      </c>
      <c r="U367" s="2318">
        <v>0</v>
      </c>
      <c r="V367" s="2319">
        <v>0</v>
      </c>
      <c r="W367" s="2319">
        <v>0</v>
      </c>
      <c r="X367" s="2319">
        <v>0</v>
      </c>
      <c r="Y367" s="2348">
        <v>0</v>
      </c>
      <c r="Z367" s="1814" t="s">
        <v>72</v>
      </c>
      <c r="AA367" s="2320" t="s">
        <v>83</v>
      </c>
      <c r="AB367" s="2321" t="s">
        <v>677</v>
      </c>
      <c r="AC367" s="2322" t="s">
        <v>80</v>
      </c>
      <c r="AD367" s="2323" t="s">
        <v>89</v>
      </c>
      <c r="AE367" s="1866" t="s">
        <v>167</v>
      </c>
      <c r="AF367" s="1866"/>
    </row>
    <row r="368" spans="1:32" ht="31.2" outlineLevel="1" x14ac:dyDescent="0.25">
      <c r="A368" s="886" t="s">
        <v>788</v>
      </c>
      <c r="B368" s="887" t="s">
        <v>1317</v>
      </c>
      <c r="C368" s="888" t="s">
        <v>853</v>
      </c>
      <c r="D368" s="40" t="s">
        <v>1007</v>
      </c>
      <c r="E368" s="989" t="s">
        <v>32</v>
      </c>
      <c r="F368" s="990" t="s">
        <v>32</v>
      </c>
      <c r="G368" s="889">
        <v>18700</v>
      </c>
      <c r="H368" s="890">
        <v>0</v>
      </c>
      <c r="I368" s="991">
        <v>308.43356999999997</v>
      </c>
      <c r="J368" s="992">
        <v>0</v>
      </c>
      <c r="K368" s="903">
        <v>308.43356999999997</v>
      </c>
      <c r="L368" s="904">
        <f t="shared" si="28"/>
        <v>1.5664300000000253</v>
      </c>
      <c r="M368" s="891">
        <v>310</v>
      </c>
      <c r="N368" s="892">
        <v>0</v>
      </c>
      <c r="O368" s="892">
        <f t="shared" si="27"/>
        <v>310</v>
      </c>
      <c r="P368" s="64">
        <v>7790</v>
      </c>
      <c r="Q368" s="897">
        <v>10600</v>
      </c>
      <c r="R368" s="895">
        <v>0</v>
      </c>
      <c r="S368" s="896">
        <v>0</v>
      </c>
      <c r="T368" s="897">
        <v>0</v>
      </c>
      <c r="U368" s="898">
        <v>0</v>
      </c>
      <c r="V368" s="899">
        <v>0</v>
      </c>
      <c r="W368" s="899">
        <v>0</v>
      </c>
      <c r="X368" s="899">
        <v>0</v>
      </c>
      <c r="Y368" s="900">
        <v>0</v>
      </c>
      <c r="Z368" s="119" t="s">
        <v>1840</v>
      </c>
      <c r="AA368" s="191" t="s">
        <v>8</v>
      </c>
      <c r="AB368" s="901" t="s">
        <v>382</v>
      </c>
      <c r="AC368" s="902" t="s">
        <v>79</v>
      </c>
      <c r="AD368" s="301" t="s">
        <v>89</v>
      </c>
      <c r="AE368" s="990" t="s">
        <v>181</v>
      </c>
      <c r="AF368" s="990"/>
    </row>
    <row r="369" spans="1:32" ht="26.4" outlineLevel="1" x14ac:dyDescent="0.25">
      <c r="A369" s="377" t="s">
        <v>789</v>
      </c>
      <c r="B369" s="1875" t="s">
        <v>1155</v>
      </c>
      <c r="C369" s="1876" t="s">
        <v>790</v>
      </c>
      <c r="D369" s="1629" t="s">
        <v>1007</v>
      </c>
      <c r="E369" s="1877" t="s">
        <v>259</v>
      </c>
      <c r="F369" s="1878" t="s">
        <v>259</v>
      </c>
      <c r="G369" s="1879">
        <v>4000</v>
      </c>
      <c r="H369" s="1439">
        <v>140</v>
      </c>
      <c r="I369" s="1440">
        <v>60</v>
      </c>
      <c r="J369" s="1441">
        <v>0</v>
      </c>
      <c r="K369" s="1442">
        <v>60</v>
      </c>
      <c r="L369" s="1443">
        <f t="shared" si="28"/>
        <v>46</v>
      </c>
      <c r="M369" s="1371">
        <v>106</v>
      </c>
      <c r="N369" s="238">
        <v>0</v>
      </c>
      <c r="O369" s="2338">
        <f t="shared" si="27"/>
        <v>106</v>
      </c>
      <c r="P369" s="2295">
        <v>3754</v>
      </c>
      <c r="Q369" s="2343">
        <v>0</v>
      </c>
      <c r="R369" s="2341">
        <v>0</v>
      </c>
      <c r="S369" s="2342">
        <v>0</v>
      </c>
      <c r="T369" s="2343">
        <v>0</v>
      </c>
      <c r="U369" s="2204">
        <v>0</v>
      </c>
      <c r="V369" s="2206">
        <v>0</v>
      </c>
      <c r="W369" s="2206">
        <v>0</v>
      </c>
      <c r="X369" s="2206">
        <v>0</v>
      </c>
      <c r="Y369" s="2344">
        <v>0</v>
      </c>
      <c r="Z369" s="1808" t="s">
        <v>72</v>
      </c>
      <c r="AA369" s="2345" t="s">
        <v>8</v>
      </c>
      <c r="AB369" s="2346" t="s">
        <v>1236</v>
      </c>
      <c r="AC369" s="2347" t="s">
        <v>79</v>
      </c>
      <c r="AD369" s="2104" t="s">
        <v>89</v>
      </c>
      <c r="AE369" s="1878" t="s">
        <v>178</v>
      </c>
      <c r="AF369" s="1878"/>
    </row>
    <row r="370" spans="1:32" ht="31.2" outlineLevel="1" x14ac:dyDescent="0.25">
      <c r="A370" s="256" t="s">
        <v>791</v>
      </c>
      <c r="B370" s="1863" t="s">
        <v>1386</v>
      </c>
      <c r="C370" s="1864" t="s">
        <v>977</v>
      </c>
      <c r="D370" s="1687" t="s">
        <v>1007</v>
      </c>
      <c r="E370" s="1865" t="s">
        <v>259</v>
      </c>
      <c r="F370" s="1866" t="s">
        <v>259</v>
      </c>
      <c r="G370" s="1867">
        <v>36</v>
      </c>
      <c r="H370" s="1427">
        <v>0</v>
      </c>
      <c r="I370" s="1428">
        <v>36</v>
      </c>
      <c r="J370" s="1429">
        <v>0</v>
      </c>
      <c r="K370" s="1430">
        <v>36</v>
      </c>
      <c r="L370" s="1431">
        <f t="shared" si="28"/>
        <v>0</v>
      </c>
      <c r="M370" s="1432">
        <v>36</v>
      </c>
      <c r="N370" s="257">
        <v>0</v>
      </c>
      <c r="O370" s="2312">
        <f t="shared" si="27"/>
        <v>36</v>
      </c>
      <c r="P370" s="2377">
        <v>0</v>
      </c>
      <c r="Q370" s="2317">
        <v>0</v>
      </c>
      <c r="R370" s="2315">
        <v>0</v>
      </c>
      <c r="S370" s="2316">
        <v>0</v>
      </c>
      <c r="T370" s="2317">
        <v>0</v>
      </c>
      <c r="U370" s="2318">
        <v>0</v>
      </c>
      <c r="V370" s="2319">
        <v>0</v>
      </c>
      <c r="W370" s="2319">
        <v>0</v>
      </c>
      <c r="X370" s="2319">
        <v>0</v>
      </c>
      <c r="Y370" s="2348">
        <v>0</v>
      </c>
      <c r="Z370" s="1814" t="s">
        <v>72</v>
      </c>
      <c r="AA370" s="2320" t="s">
        <v>83</v>
      </c>
      <c r="AB370" s="2321" t="s">
        <v>448</v>
      </c>
      <c r="AC370" s="2322" t="s">
        <v>79</v>
      </c>
      <c r="AD370" s="2323" t="s">
        <v>89</v>
      </c>
      <c r="AE370" s="1866" t="s">
        <v>178</v>
      </c>
      <c r="AF370" s="1866"/>
    </row>
    <row r="371" spans="1:32" ht="31.2" outlineLevel="1" x14ac:dyDescent="0.25">
      <c r="A371" s="256" t="s">
        <v>792</v>
      </c>
      <c r="B371" s="1863" t="s">
        <v>1339</v>
      </c>
      <c r="C371" s="1864" t="s">
        <v>793</v>
      </c>
      <c r="D371" s="1742" t="s">
        <v>1007</v>
      </c>
      <c r="E371" s="1865" t="s">
        <v>259</v>
      </c>
      <c r="F371" s="1866" t="s">
        <v>259</v>
      </c>
      <c r="G371" s="1867">
        <v>159.9015</v>
      </c>
      <c r="H371" s="1427">
        <v>0</v>
      </c>
      <c r="I371" s="1428">
        <v>159.9015</v>
      </c>
      <c r="J371" s="1429">
        <v>0</v>
      </c>
      <c r="K371" s="1430">
        <v>159.9015</v>
      </c>
      <c r="L371" s="1431">
        <f t="shared" si="28"/>
        <v>0</v>
      </c>
      <c r="M371" s="1432">
        <v>159.9015</v>
      </c>
      <c r="N371" s="257">
        <v>0</v>
      </c>
      <c r="O371" s="2312">
        <f t="shared" si="27"/>
        <v>159.9015</v>
      </c>
      <c r="P371" s="2377">
        <v>0</v>
      </c>
      <c r="Q371" s="2317">
        <v>0</v>
      </c>
      <c r="R371" s="2315">
        <v>0</v>
      </c>
      <c r="S371" s="2316">
        <v>0</v>
      </c>
      <c r="T371" s="2317">
        <v>0</v>
      </c>
      <c r="U371" s="2318">
        <v>0</v>
      </c>
      <c r="V371" s="2319">
        <v>0</v>
      </c>
      <c r="W371" s="2319">
        <v>0</v>
      </c>
      <c r="X371" s="2319">
        <v>0</v>
      </c>
      <c r="Y371" s="2348">
        <v>0</v>
      </c>
      <c r="Z371" s="1814" t="s">
        <v>72</v>
      </c>
      <c r="AA371" s="2320" t="s">
        <v>83</v>
      </c>
      <c r="AB371" s="2321" t="s">
        <v>677</v>
      </c>
      <c r="AC371" s="2322" t="s">
        <v>80</v>
      </c>
      <c r="AD371" s="2323" t="s">
        <v>89</v>
      </c>
      <c r="AE371" s="1866" t="s">
        <v>178</v>
      </c>
      <c r="AF371" s="1866"/>
    </row>
    <row r="372" spans="1:32" ht="31.2" outlineLevel="1" x14ac:dyDescent="0.25">
      <c r="A372" s="377" t="s">
        <v>794</v>
      </c>
      <c r="B372" s="1875" t="s">
        <v>1340</v>
      </c>
      <c r="C372" s="1876" t="s">
        <v>795</v>
      </c>
      <c r="D372" s="1629" t="s">
        <v>1007</v>
      </c>
      <c r="E372" s="1877" t="s">
        <v>259</v>
      </c>
      <c r="F372" s="1878" t="s">
        <v>259</v>
      </c>
      <c r="G372" s="1879">
        <v>10260</v>
      </c>
      <c r="H372" s="1439">
        <v>0</v>
      </c>
      <c r="I372" s="1440">
        <v>107.5</v>
      </c>
      <c r="J372" s="1441">
        <v>0</v>
      </c>
      <c r="K372" s="1442">
        <v>107.5</v>
      </c>
      <c r="L372" s="1443">
        <f t="shared" si="28"/>
        <v>312.5</v>
      </c>
      <c r="M372" s="1371">
        <v>420</v>
      </c>
      <c r="N372" s="238">
        <v>0</v>
      </c>
      <c r="O372" s="2338">
        <f t="shared" si="27"/>
        <v>420</v>
      </c>
      <c r="P372" s="2295">
        <v>9840</v>
      </c>
      <c r="Q372" s="2343">
        <v>0</v>
      </c>
      <c r="R372" s="2341">
        <v>0</v>
      </c>
      <c r="S372" s="2342">
        <v>0</v>
      </c>
      <c r="T372" s="2343">
        <v>0</v>
      </c>
      <c r="U372" s="2204">
        <v>0</v>
      </c>
      <c r="V372" s="2206">
        <v>0</v>
      </c>
      <c r="W372" s="2206">
        <v>0</v>
      </c>
      <c r="X372" s="2206">
        <v>0</v>
      </c>
      <c r="Y372" s="2344">
        <v>0</v>
      </c>
      <c r="Z372" s="1808" t="s">
        <v>72</v>
      </c>
      <c r="AA372" s="2345" t="s">
        <v>8</v>
      </c>
      <c r="AB372" s="2346" t="s">
        <v>1237</v>
      </c>
      <c r="AC372" s="2347" t="s">
        <v>79</v>
      </c>
      <c r="AD372" s="2104" t="s">
        <v>89</v>
      </c>
      <c r="AE372" s="1878" t="s">
        <v>178</v>
      </c>
      <c r="AF372" s="1878"/>
    </row>
    <row r="373" spans="1:32" ht="31.2" outlineLevel="1" x14ac:dyDescent="0.25">
      <c r="A373" s="378" t="s">
        <v>796</v>
      </c>
      <c r="B373" s="1856" t="s">
        <v>1341</v>
      </c>
      <c r="C373" s="1857" t="s">
        <v>797</v>
      </c>
      <c r="D373" s="1629" t="s">
        <v>1007</v>
      </c>
      <c r="E373" s="1630" t="s">
        <v>259</v>
      </c>
      <c r="F373" s="1631" t="s">
        <v>259</v>
      </c>
      <c r="G373" s="1858">
        <v>181.5</v>
      </c>
      <c r="H373" s="1416">
        <v>0</v>
      </c>
      <c r="I373" s="1417">
        <v>78.650000000000006</v>
      </c>
      <c r="J373" s="1418">
        <v>0</v>
      </c>
      <c r="K373" s="1419">
        <v>78.650000000000006</v>
      </c>
      <c r="L373" s="1420">
        <f t="shared" si="28"/>
        <v>102.85</v>
      </c>
      <c r="M373" s="1341">
        <v>181.5</v>
      </c>
      <c r="N373" s="235">
        <v>0</v>
      </c>
      <c r="O373" s="1488">
        <f t="shared" si="27"/>
        <v>181.5</v>
      </c>
      <c r="P373" s="2295">
        <v>0</v>
      </c>
      <c r="Q373" s="2180">
        <v>0</v>
      </c>
      <c r="R373" s="2178">
        <v>0</v>
      </c>
      <c r="S373" s="2179">
        <v>0</v>
      </c>
      <c r="T373" s="2180">
        <v>0</v>
      </c>
      <c r="U373" s="1572">
        <v>0</v>
      </c>
      <c r="V373" s="1574">
        <v>0</v>
      </c>
      <c r="W373" s="1574">
        <v>0</v>
      </c>
      <c r="X373" s="1574">
        <v>0</v>
      </c>
      <c r="Y373" s="1607">
        <v>0</v>
      </c>
      <c r="Z373" s="1629" t="s">
        <v>72</v>
      </c>
      <c r="AA373" s="2297" t="s">
        <v>10</v>
      </c>
      <c r="AB373" s="2346" t="s">
        <v>382</v>
      </c>
      <c r="AC373" s="2299" t="s">
        <v>80</v>
      </c>
      <c r="AD373" s="1986" t="s">
        <v>89</v>
      </c>
      <c r="AE373" s="1631" t="s">
        <v>178</v>
      </c>
      <c r="AF373" s="1631"/>
    </row>
    <row r="374" spans="1:32" ht="26.4" outlineLevel="1" x14ac:dyDescent="0.25">
      <c r="A374" s="907" t="s">
        <v>798</v>
      </c>
      <c r="B374" s="908" t="s">
        <v>75</v>
      </c>
      <c r="C374" s="459" t="s">
        <v>799</v>
      </c>
      <c r="D374" s="41" t="s">
        <v>1007</v>
      </c>
      <c r="E374" s="981" t="s">
        <v>4</v>
      </c>
      <c r="F374" s="957" t="s">
        <v>30</v>
      </c>
      <c r="G374" s="94">
        <v>1000</v>
      </c>
      <c r="H374" s="138">
        <v>0</v>
      </c>
      <c r="I374" s="994">
        <v>0</v>
      </c>
      <c r="J374" s="995">
        <v>0</v>
      </c>
      <c r="K374" s="95">
        <v>0</v>
      </c>
      <c r="L374" s="139">
        <f t="shared" si="28"/>
        <v>0</v>
      </c>
      <c r="M374" s="101">
        <v>0</v>
      </c>
      <c r="N374" s="685">
        <v>0</v>
      </c>
      <c r="O374" s="685">
        <f t="shared" si="27"/>
        <v>0</v>
      </c>
      <c r="P374" s="64">
        <v>0</v>
      </c>
      <c r="Q374" s="63">
        <v>1000</v>
      </c>
      <c r="R374" s="679">
        <v>0</v>
      </c>
      <c r="S374" s="96">
        <v>0</v>
      </c>
      <c r="T374" s="63">
        <v>0</v>
      </c>
      <c r="U374" s="652">
        <v>0</v>
      </c>
      <c r="V374" s="677">
        <v>0</v>
      </c>
      <c r="W374" s="677">
        <v>0</v>
      </c>
      <c r="X374" s="677">
        <v>0</v>
      </c>
      <c r="Y374" s="680">
        <v>0</v>
      </c>
      <c r="Z374" s="41" t="s">
        <v>1841</v>
      </c>
      <c r="AA374" s="62" t="s">
        <v>24</v>
      </c>
      <c r="AB374" s="909" t="s">
        <v>450</v>
      </c>
      <c r="AC374" s="655" t="s">
        <v>79</v>
      </c>
      <c r="AD374" s="49" t="s">
        <v>90</v>
      </c>
      <c r="AE374" s="957" t="s">
        <v>175</v>
      </c>
      <c r="AF374" s="957"/>
    </row>
    <row r="375" spans="1:32" ht="63" outlineLevel="1" thickBot="1" x14ac:dyDescent="0.3">
      <c r="A375" s="610" t="s">
        <v>800</v>
      </c>
      <c r="B375" s="910" t="s">
        <v>1318</v>
      </c>
      <c r="C375" s="911" t="s">
        <v>801</v>
      </c>
      <c r="D375" s="56" t="s">
        <v>1007</v>
      </c>
      <c r="E375" s="983" t="s">
        <v>242</v>
      </c>
      <c r="F375" s="984" t="s">
        <v>242</v>
      </c>
      <c r="G375" s="102">
        <v>263000</v>
      </c>
      <c r="H375" s="141">
        <v>0</v>
      </c>
      <c r="I375" s="996">
        <v>123.752</v>
      </c>
      <c r="J375" s="997">
        <v>0</v>
      </c>
      <c r="K375" s="104">
        <v>123.75200000000041</v>
      </c>
      <c r="L375" s="142">
        <f t="shared" si="28"/>
        <v>330</v>
      </c>
      <c r="M375" s="714">
        <v>453.75200000000041</v>
      </c>
      <c r="N375" s="713">
        <v>0</v>
      </c>
      <c r="O375" s="713">
        <f t="shared" si="27"/>
        <v>453.75200000000041</v>
      </c>
      <c r="P375" s="71">
        <v>0</v>
      </c>
      <c r="Q375" s="105">
        <v>262546.24800000002</v>
      </c>
      <c r="R375" s="750">
        <v>0</v>
      </c>
      <c r="S375" s="106">
        <v>0</v>
      </c>
      <c r="T375" s="105">
        <v>0</v>
      </c>
      <c r="U375" s="666">
        <v>0</v>
      </c>
      <c r="V375" s="716">
        <v>0</v>
      </c>
      <c r="W375" s="716">
        <v>0</v>
      </c>
      <c r="X375" s="716">
        <v>0</v>
      </c>
      <c r="Y375" s="717">
        <v>0</v>
      </c>
      <c r="Z375" s="56" t="s">
        <v>1842</v>
      </c>
      <c r="AA375" s="140" t="s">
        <v>8</v>
      </c>
      <c r="AB375" s="912" t="s">
        <v>382</v>
      </c>
      <c r="AC375" s="674" t="s">
        <v>79</v>
      </c>
      <c r="AD375" s="112" t="s">
        <v>90</v>
      </c>
      <c r="AE375" s="984" t="s">
        <v>174</v>
      </c>
      <c r="AF375" s="984"/>
    </row>
    <row r="376" spans="1:32" ht="31.2" outlineLevel="1" x14ac:dyDescent="0.25">
      <c r="A376" s="258" t="s">
        <v>881</v>
      </c>
      <c r="B376" s="1851" t="s">
        <v>1327</v>
      </c>
      <c r="C376" s="1852" t="s">
        <v>882</v>
      </c>
      <c r="D376" s="1803" t="s">
        <v>1016</v>
      </c>
      <c r="E376" s="1853" t="s">
        <v>258</v>
      </c>
      <c r="F376" s="1854" t="s">
        <v>258</v>
      </c>
      <c r="G376" s="1855">
        <v>1396.1000000000001</v>
      </c>
      <c r="H376" s="1410">
        <v>0</v>
      </c>
      <c r="I376" s="1411">
        <v>1396.1000000000001</v>
      </c>
      <c r="J376" s="1412">
        <v>0</v>
      </c>
      <c r="K376" s="1413">
        <v>1396.1000000000001</v>
      </c>
      <c r="L376" s="1414">
        <f t="shared" si="28"/>
        <v>0</v>
      </c>
      <c r="M376" s="1415">
        <v>7500</v>
      </c>
      <c r="N376" s="259">
        <v>-6103.9</v>
      </c>
      <c r="O376" s="2282">
        <f t="shared" si="27"/>
        <v>1396.1000000000004</v>
      </c>
      <c r="P376" s="2375">
        <v>0</v>
      </c>
      <c r="Q376" s="2287">
        <v>0</v>
      </c>
      <c r="R376" s="2285">
        <v>0</v>
      </c>
      <c r="S376" s="2286">
        <v>0</v>
      </c>
      <c r="T376" s="2287">
        <v>0</v>
      </c>
      <c r="U376" s="2288">
        <v>0</v>
      </c>
      <c r="V376" s="2289">
        <v>0</v>
      </c>
      <c r="W376" s="2289">
        <v>0</v>
      </c>
      <c r="X376" s="2289">
        <v>0</v>
      </c>
      <c r="Y376" s="2290">
        <v>0</v>
      </c>
      <c r="Z376" s="1812" t="s">
        <v>1843</v>
      </c>
      <c r="AA376" s="2291" t="s">
        <v>83</v>
      </c>
      <c r="AB376" s="2292" t="s">
        <v>533</v>
      </c>
      <c r="AC376" s="2293" t="s">
        <v>80</v>
      </c>
      <c r="AD376" s="2294" t="s">
        <v>89</v>
      </c>
      <c r="AE376" s="1854" t="s">
        <v>172</v>
      </c>
      <c r="AF376" s="1854"/>
    </row>
    <row r="377" spans="1:32" ht="31.2" outlineLevel="1" x14ac:dyDescent="0.25">
      <c r="A377" s="886" t="s">
        <v>883</v>
      </c>
      <c r="B377" s="887" t="s">
        <v>1328</v>
      </c>
      <c r="C377" s="888" t="s">
        <v>884</v>
      </c>
      <c r="D377" s="41" t="s">
        <v>1016</v>
      </c>
      <c r="E377" s="989" t="s">
        <v>258</v>
      </c>
      <c r="F377" s="990" t="s">
        <v>258</v>
      </c>
      <c r="G377" s="889">
        <v>4000</v>
      </c>
      <c r="H377" s="890">
        <v>0</v>
      </c>
      <c r="I377" s="991">
        <v>431.46000000000004</v>
      </c>
      <c r="J377" s="992">
        <v>0</v>
      </c>
      <c r="K377" s="903">
        <v>431.46000000000004</v>
      </c>
      <c r="L377" s="904">
        <f t="shared" si="28"/>
        <v>0</v>
      </c>
      <c r="M377" s="891">
        <v>4000</v>
      </c>
      <c r="N377" s="892">
        <v>-3568.54</v>
      </c>
      <c r="O377" s="892">
        <f t="shared" si="27"/>
        <v>431.46000000000004</v>
      </c>
      <c r="P377" s="64">
        <v>3568.54</v>
      </c>
      <c r="Q377" s="897">
        <v>0</v>
      </c>
      <c r="R377" s="895">
        <v>0</v>
      </c>
      <c r="S377" s="896">
        <v>0</v>
      </c>
      <c r="T377" s="897">
        <v>0</v>
      </c>
      <c r="U377" s="898">
        <v>0</v>
      </c>
      <c r="V377" s="899">
        <v>0</v>
      </c>
      <c r="W377" s="899">
        <v>0</v>
      </c>
      <c r="X377" s="899">
        <v>0</v>
      </c>
      <c r="Y377" s="900">
        <v>0</v>
      </c>
      <c r="Z377" s="119" t="s">
        <v>1844</v>
      </c>
      <c r="AA377" s="191" t="s">
        <v>6</v>
      </c>
      <c r="AB377" s="901" t="s">
        <v>1237</v>
      </c>
      <c r="AC377" s="902" t="s">
        <v>79</v>
      </c>
      <c r="AD377" s="301" t="s">
        <v>89</v>
      </c>
      <c r="AE377" s="990" t="s">
        <v>172</v>
      </c>
      <c r="AF377" s="990"/>
    </row>
    <row r="378" spans="1:32" ht="26.4" outlineLevel="1" x14ac:dyDescent="0.25">
      <c r="A378" s="250" t="s">
        <v>885</v>
      </c>
      <c r="B378" s="1902" t="s">
        <v>1188</v>
      </c>
      <c r="C378" s="1903" t="s">
        <v>886</v>
      </c>
      <c r="D378" s="1803" t="s">
        <v>1016</v>
      </c>
      <c r="E378" s="1904" t="s">
        <v>27</v>
      </c>
      <c r="F378" s="1905" t="s">
        <v>27</v>
      </c>
      <c r="G378" s="1906">
        <v>88.349369999999993</v>
      </c>
      <c r="H378" s="1466">
        <v>88.349369999999993</v>
      </c>
      <c r="I378" s="1467">
        <v>0</v>
      </c>
      <c r="J378" s="1468">
        <v>0</v>
      </c>
      <c r="K378" s="1469">
        <v>0</v>
      </c>
      <c r="L378" s="1470">
        <f t="shared" si="28"/>
        <v>0</v>
      </c>
      <c r="M378" s="1358">
        <v>11.650630000000007</v>
      </c>
      <c r="N378" s="251">
        <v>-11.65063</v>
      </c>
      <c r="O378" s="2398">
        <f t="shared" si="27"/>
        <v>0</v>
      </c>
      <c r="P378" s="2375">
        <v>0</v>
      </c>
      <c r="Q378" s="2399">
        <v>0</v>
      </c>
      <c r="R378" s="2400">
        <v>0</v>
      </c>
      <c r="S378" s="2401">
        <v>0</v>
      </c>
      <c r="T378" s="2399">
        <v>0</v>
      </c>
      <c r="U378" s="1578">
        <v>0</v>
      </c>
      <c r="V378" s="1580">
        <v>0</v>
      </c>
      <c r="W378" s="1580">
        <v>0</v>
      </c>
      <c r="X378" s="1580">
        <v>0</v>
      </c>
      <c r="Y378" s="1599">
        <v>0</v>
      </c>
      <c r="Z378" s="1803" t="s">
        <v>384</v>
      </c>
      <c r="AA378" s="2402" t="s">
        <v>83</v>
      </c>
      <c r="AB378" s="2403" t="s">
        <v>533</v>
      </c>
      <c r="AC378" s="2404" t="s">
        <v>80</v>
      </c>
      <c r="AD378" s="2128" t="s">
        <v>89</v>
      </c>
      <c r="AE378" s="1905" t="s">
        <v>166</v>
      </c>
      <c r="AF378" s="1905"/>
    </row>
    <row r="379" spans="1:32" ht="31.2" outlineLevel="1" x14ac:dyDescent="0.25">
      <c r="A379" s="886" t="s">
        <v>887</v>
      </c>
      <c r="B379" s="887" t="s">
        <v>1347</v>
      </c>
      <c r="C379" s="888" t="s">
        <v>888</v>
      </c>
      <c r="D379" s="41" t="s">
        <v>1016</v>
      </c>
      <c r="E379" s="989" t="s">
        <v>27</v>
      </c>
      <c r="F379" s="990" t="s">
        <v>27</v>
      </c>
      <c r="G379" s="889">
        <v>225017.8</v>
      </c>
      <c r="H379" s="890">
        <v>0</v>
      </c>
      <c r="I379" s="991">
        <v>65.823999999999998</v>
      </c>
      <c r="J379" s="992">
        <v>0</v>
      </c>
      <c r="K379" s="903">
        <v>65.823999999999998</v>
      </c>
      <c r="L379" s="904">
        <f t="shared" si="28"/>
        <v>218</v>
      </c>
      <c r="M379" s="891">
        <v>283.82400000000001</v>
      </c>
      <c r="N379" s="892">
        <v>0</v>
      </c>
      <c r="O379" s="892">
        <f t="shared" si="27"/>
        <v>283.82400000000001</v>
      </c>
      <c r="P379" s="64">
        <v>0</v>
      </c>
      <c r="Q379" s="897">
        <v>224733.976</v>
      </c>
      <c r="R379" s="895">
        <v>0</v>
      </c>
      <c r="S379" s="896">
        <v>0</v>
      </c>
      <c r="T379" s="897">
        <v>0</v>
      </c>
      <c r="U379" s="898">
        <v>0</v>
      </c>
      <c r="V379" s="899">
        <v>0</v>
      </c>
      <c r="W379" s="899">
        <v>0</v>
      </c>
      <c r="X379" s="899">
        <v>0</v>
      </c>
      <c r="Y379" s="900">
        <v>0</v>
      </c>
      <c r="Z379" s="119" t="s">
        <v>1845</v>
      </c>
      <c r="AA379" s="191" t="s">
        <v>8</v>
      </c>
      <c r="AB379" s="901" t="s">
        <v>450</v>
      </c>
      <c r="AC379" s="902" t="s">
        <v>79</v>
      </c>
      <c r="AD379" s="301" t="s">
        <v>88</v>
      </c>
      <c r="AE379" s="990" t="s">
        <v>166</v>
      </c>
      <c r="AF379" s="990"/>
    </row>
    <row r="380" spans="1:32" ht="26.4" outlineLevel="1" x14ac:dyDescent="0.25">
      <c r="A380" s="258" t="s">
        <v>889</v>
      </c>
      <c r="B380" s="1851" t="s">
        <v>1189</v>
      </c>
      <c r="C380" s="1852" t="s">
        <v>890</v>
      </c>
      <c r="D380" s="1803" t="s">
        <v>1016</v>
      </c>
      <c r="E380" s="1853" t="s">
        <v>27</v>
      </c>
      <c r="F380" s="1854" t="s">
        <v>27</v>
      </c>
      <c r="G380" s="1855">
        <v>119.79</v>
      </c>
      <c r="H380" s="1410">
        <v>35.090000000000003</v>
      </c>
      <c r="I380" s="1411">
        <v>84.7</v>
      </c>
      <c r="J380" s="1412">
        <v>0</v>
      </c>
      <c r="K380" s="1413">
        <v>84.7</v>
      </c>
      <c r="L380" s="1414">
        <f t="shared" si="28"/>
        <v>-1.8474111129762605E-13</v>
      </c>
      <c r="M380" s="1415">
        <v>84.699999999999818</v>
      </c>
      <c r="N380" s="259">
        <v>0</v>
      </c>
      <c r="O380" s="2282">
        <f t="shared" si="27"/>
        <v>84.699999999999818</v>
      </c>
      <c r="P380" s="2375">
        <v>0</v>
      </c>
      <c r="Q380" s="2287">
        <v>0</v>
      </c>
      <c r="R380" s="2285">
        <v>0</v>
      </c>
      <c r="S380" s="2286">
        <v>0</v>
      </c>
      <c r="T380" s="2287">
        <v>0</v>
      </c>
      <c r="U380" s="2288">
        <v>0</v>
      </c>
      <c r="V380" s="2289">
        <v>0</v>
      </c>
      <c r="W380" s="2289">
        <v>0</v>
      </c>
      <c r="X380" s="2289">
        <v>0</v>
      </c>
      <c r="Y380" s="2290">
        <v>0</v>
      </c>
      <c r="Z380" s="1812" t="s">
        <v>1846</v>
      </c>
      <c r="AA380" s="2291" t="s">
        <v>83</v>
      </c>
      <c r="AB380" s="2292" t="s">
        <v>533</v>
      </c>
      <c r="AC380" s="2293" t="s">
        <v>80</v>
      </c>
      <c r="AD380" s="2294" t="s">
        <v>89</v>
      </c>
      <c r="AE380" s="1854" t="s">
        <v>166</v>
      </c>
      <c r="AF380" s="1854"/>
    </row>
    <row r="381" spans="1:32" ht="31.2" outlineLevel="1" x14ac:dyDescent="0.25">
      <c r="A381" s="258" t="s">
        <v>892</v>
      </c>
      <c r="B381" s="1851" t="s">
        <v>1348</v>
      </c>
      <c r="C381" s="1852" t="s">
        <v>891</v>
      </c>
      <c r="D381" s="1803" t="s">
        <v>1016</v>
      </c>
      <c r="E381" s="1853" t="s">
        <v>27</v>
      </c>
      <c r="F381" s="1854" t="s">
        <v>27</v>
      </c>
      <c r="G381" s="1855">
        <v>750.2</v>
      </c>
      <c r="H381" s="1466">
        <v>0</v>
      </c>
      <c r="I381" s="1467">
        <v>750.2</v>
      </c>
      <c r="J381" s="1468">
        <v>0</v>
      </c>
      <c r="K381" s="1469">
        <v>750.2</v>
      </c>
      <c r="L381" s="1414">
        <f t="shared" si="28"/>
        <v>0</v>
      </c>
      <c r="M381" s="1415">
        <v>1000.3</v>
      </c>
      <c r="N381" s="259">
        <v>-250.1</v>
      </c>
      <c r="O381" s="2282">
        <f t="shared" si="27"/>
        <v>750.19999999999993</v>
      </c>
      <c r="P381" s="2375">
        <v>0</v>
      </c>
      <c r="Q381" s="2287">
        <v>0</v>
      </c>
      <c r="R381" s="2285">
        <v>0</v>
      </c>
      <c r="S381" s="2286">
        <v>0</v>
      </c>
      <c r="T381" s="2287">
        <v>0</v>
      </c>
      <c r="U381" s="2288">
        <v>0</v>
      </c>
      <c r="V381" s="2289">
        <v>0</v>
      </c>
      <c r="W381" s="2289">
        <v>0</v>
      </c>
      <c r="X381" s="2289">
        <v>0</v>
      </c>
      <c r="Y381" s="2290">
        <v>0</v>
      </c>
      <c r="Z381" s="1812" t="s">
        <v>1847</v>
      </c>
      <c r="AA381" s="2291" t="s">
        <v>83</v>
      </c>
      <c r="AB381" s="2292" t="s">
        <v>747</v>
      </c>
      <c r="AC381" s="2293" t="s">
        <v>79</v>
      </c>
      <c r="AD381" s="2294" t="s">
        <v>88</v>
      </c>
      <c r="AE381" s="1854" t="s">
        <v>166</v>
      </c>
      <c r="AF381" s="1854"/>
    </row>
    <row r="382" spans="1:32" ht="26.4" outlineLevel="1" x14ac:dyDescent="0.25">
      <c r="A382" s="2649" t="s">
        <v>894</v>
      </c>
      <c r="B382" s="2650" t="s">
        <v>1331</v>
      </c>
      <c r="C382" s="2651" t="s">
        <v>893</v>
      </c>
      <c r="D382" s="2652" t="s">
        <v>1016</v>
      </c>
      <c r="E382" s="2653" t="s">
        <v>199</v>
      </c>
      <c r="F382" s="2654" t="s">
        <v>199</v>
      </c>
      <c r="G382" s="2655">
        <f>702.3687+145.2</f>
        <v>847.56870000000004</v>
      </c>
      <c r="H382" s="2656">
        <v>0</v>
      </c>
      <c r="I382" s="2657">
        <v>702.36869999999999</v>
      </c>
      <c r="J382" s="2658">
        <v>145.19999999999999</v>
      </c>
      <c r="K382" s="2659">
        <v>702.36869999999999</v>
      </c>
      <c r="L382" s="2660">
        <f t="shared" si="28"/>
        <v>145.20000000000005</v>
      </c>
      <c r="M382" s="2661">
        <v>702.36869999999999</v>
      </c>
      <c r="N382" s="2662">
        <f>0+145.2</f>
        <v>145.19999999999999</v>
      </c>
      <c r="O382" s="2662">
        <f t="shared" si="27"/>
        <v>847.56870000000004</v>
      </c>
      <c r="P382" s="2663">
        <v>0</v>
      </c>
      <c r="Q382" s="2664">
        <v>0</v>
      </c>
      <c r="R382" s="2665">
        <v>0</v>
      </c>
      <c r="S382" s="2666">
        <v>0</v>
      </c>
      <c r="T382" s="2664">
        <v>0</v>
      </c>
      <c r="U382" s="2667">
        <v>0</v>
      </c>
      <c r="V382" s="2668">
        <v>0</v>
      </c>
      <c r="W382" s="2668">
        <v>0</v>
      </c>
      <c r="X382" s="2668">
        <v>0</v>
      </c>
      <c r="Y382" s="2669">
        <v>0</v>
      </c>
      <c r="Z382" s="2652" t="s">
        <v>1969</v>
      </c>
      <c r="AA382" s="2670" t="s">
        <v>83</v>
      </c>
      <c r="AB382" s="2671" t="s">
        <v>1311</v>
      </c>
      <c r="AC382" s="2672" t="s">
        <v>79</v>
      </c>
      <c r="AD382" s="2673" t="s">
        <v>90</v>
      </c>
      <c r="AE382" s="2654" t="s">
        <v>560</v>
      </c>
      <c r="AF382" s="2654"/>
    </row>
    <row r="383" spans="1:32" ht="31.2" outlineLevel="1" x14ac:dyDescent="0.25">
      <c r="A383" s="886" t="s">
        <v>896</v>
      </c>
      <c r="B383" s="887" t="s">
        <v>75</v>
      </c>
      <c r="C383" s="888" t="s">
        <v>895</v>
      </c>
      <c r="D383" s="41" t="s">
        <v>1016</v>
      </c>
      <c r="E383" s="989" t="s">
        <v>35</v>
      </c>
      <c r="F383" s="990" t="s">
        <v>35</v>
      </c>
      <c r="G383" s="889">
        <v>31200</v>
      </c>
      <c r="H383" s="890">
        <v>0</v>
      </c>
      <c r="I383" s="991">
        <v>0</v>
      </c>
      <c r="J383" s="992">
        <v>0</v>
      </c>
      <c r="K383" s="903">
        <v>0</v>
      </c>
      <c r="L383" s="904">
        <f t="shared" si="28"/>
        <v>0</v>
      </c>
      <c r="M383" s="891">
        <v>0</v>
      </c>
      <c r="N383" s="892">
        <v>0</v>
      </c>
      <c r="O383" s="892">
        <f t="shared" si="27"/>
        <v>0</v>
      </c>
      <c r="P383" s="64">
        <v>0</v>
      </c>
      <c r="Q383" s="897">
        <v>31200</v>
      </c>
      <c r="R383" s="895">
        <v>0</v>
      </c>
      <c r="S383" s="896">
        <v>0</v>
      </c>
      <c r="T383" s="897">
        <v>0</v>
      </c>
      <c r="U383" s="898">
        <v>0</v>
      </c>
      <c r="V383" s="899">
        <v>0</v>
      </c>
      <c r="W383" s="899">
        <v>0</v>
      </c>
      <c r="X383" s="899">
        <v>0</v>
      </c>
      <c r="Y383" s="900">
        <v>0</v>
      </c>
      <c r="Z383" s="82" t="s">
        <v>1848</v>
      </c>
      <c r="AA383" s="191" t="s">
        <v>8</v>
      </c>
      <c r="AB383" s="901" t="s">
        <v>1076</v>
      </c>
      <c r="AC383" s="902" t="s">
        <v>79</v>
      </c>
      <c r="AD383" s="301" t="s">
        <v>89</v>
      </c>
      <c r="AE383" s="990" t="s">
        <v>181</v>
      </c>
      <c r="AF383" s="990"/>
    </row>
    <row r="384" spans="1:32" ht="31.2" outlineLevel="1" x14ac:dyDescent="0.25">
      <c r="A384" s="256" t="s">
        <v>898</v>
      </c>
      <c r="B384" s="1863" t="s">
        <v>1319</v>
      </c>
      <c r="C384" s="1864" t="s">
        <v>897</v>
      </c>
      <c r="D384" s="1687" t="s">
        <v>1016</v>
      </c>
      <c r="E384" s="1865" t="s">
        <v>103</v>
      </c>
      <c r="F384" s="1866" t="s">
        <v>103</v>
      </c>
      <c r="G384" s="1867">
        <v>918.39</v>
      </c>
      <c r="H384" s="1427">
        <v>0</v>
      </c>
      <c r="I384" s="1428">
        <v>918.39</v>
      </c>
      <c r="J384" s="1429">
        <v>0</v>
      </c>
      <c r="K384" s="1430">
        <v>918.39</v>
      </c>
      <c r="L384" s="1431">
        <f t="shared" si="28"/>
        <v>0</v>
      </c>
      <c r="M384" s="1432">
        <v>918.39</v>
      </c>
      <c r="N384" s="257">
        <v>0</v>
      </c>
      <c r="O384" s="2312">
        <f t="shared" si="27"/>
        <v>918.39</v>
      </c>
      <c r="P384" s="2377">
        <v>0</v>
      </c>
      <c r="Q384" s="2317">
        <v>0</v>
      </c>
      <c r="R384" s="2315">
        <v>0</v>
      </c>
      <c r="S384" s="2316">
        <v>0</v>
      </c>
      <c r="T384" s="2317">
        <v>0</v>
      </c>
      <c r="U384" s="2318">
        <v>0</v>
      </c>
      <c r="V384" s="2319">
        <v>0</v>
      </c>
      <c r="W384" s="2319">
        <v>0</v>
      </c>
      <c r="X384" s="2319">
        <v>0</v>
      </c>
      <c r="Y384" s="2348">
        <v>0</v>
      </c>
      <c r="Z384" s="1814" t="s">
        <v>72</v>
      </c>
      <c r="AA384" s="2320" t="s">
        <v>83</v>
      </c>
      <c r="AB384" s="2321" t="s">
        <v>1074</v>
      </c>
      <c r="AC384" s="2322" t="s">
        <v>80</v>
      </c>
      <c r="AD384" s="2323" t="s">
        <v>89</v>
      </c>
      <c r="AE384" s="1866" t="s">
        <v>180</v>
      </c>
      <c r="AF384" s="1866"/>
    </row>
    <row r="385" spans="1:32" ht="47.4" outlineLevel="1" thickBot="1" x14ac:dyDescent="0.3">
      <c r="A385" s="913" t="s">
        <v>905</v>
      </c>
      <c r="B385" s="914" t="s">
        <v>75</v>
      </c>
      <c r="C385" s="915" t="s">
        <v>899</v>
      </c>
      <c r="D385" s="176" t="s">
        <v>1016</v>
      </c>
      <c r="E385" s="372" t="s">
        <v>103</v>
      </c>
      <c r="F385" s="316" t="s">
        <v>103</v>
      </c>
      <c r="G385" s="916">
        <v>0</v>
      </c>
      <c r="H385" s="1149">
        <v>0</v>
      </c>
      <c r="I385" s="1150">
        <v>0</v>
      </c>
      <c r="J385" s="1151">
        <v>0</v>
      </c>
      <c r="K385" s="1152">
        <v>0</v>
      </c>
      <c r="L385" s="1153">
        <f t="shared" si="28"/>
        <v>0</v>
      </c>
      <c r="M385" s="855">
        <v>0</v>
      </c>
      <c r="N385" s="1154">
        <v>0</v>
      </c>
      <c r="O385" s="1154">
        <f t="shared" si="27"/>
        <v>0</v>
      </c>
      <c r="P385" s="309">
        <v>0</v>
      </c>
      <c r="Q385" s="312">
        <v>0</v>
      </c>
      <c r="R385" s="310">
        <v>0</v>
      </c>
      <c r="S385" s="311">
        <v>0</v>
      </c>
      <c r="T385" s="312">
        <v>0</v>
      </c>
      <c r="U385" s="303">
        <v>0</v>
      </c>
      <c r="V385" s="313">
        <v>0</v>
      </c>
      <c r="W385" s="313">
        <v>0</v>
      </c>
      <c r="X385" s="313">
        <v>0</v>
      </c>
      <c r="Y385" s="1155">
        <v>0</v>
      </c>
      <c r="Z385" s="176" t="s">
        <v>1849</v>
      </c>
      <c r="AA385" s="314" t="s">
        <v>81</v>
      </c>
      <c r="AB385" s="917" t="s">
        <v>533</v>
      </c>
      <c r="AC385" s="315" t="s">
        <v>79</v>
      </c>
      <c r="AD385" s="185" t="s">
        <v>88</v>
      </c>
      <c r="AE385" s="316" t="s">
        <v>180</v>
      </c>
      <c r="AF385" s="316"/>
    </row>
    <row r="386" spans="1:32" ht="31.2" outlineLevel="1" x14ac:dyDescent="0.25">
      <c r="A386" s="248" t="s">
        <v>978</v>
      </c>
      <c r="B386" s="1907" t="s">
        <v>1226</v>
      </c>
      <c r="C386" s="1908" t="s">
        <v>979</v>
      </c>
      <c r="D386" s="1707" t="s">
        <v>1056</v>
      </c>
      <c r="E386" s="1799" t="s">
        <v>103</v>
      </c>
      <c r="F386" s="1709" t="s">
        <v>103</v>
      </c>
      <c r="G386" s="1909">
        <v>760.52855999999997</v>
      </c>
      <c r="H386" s="1471">
        <v>0</v>
      </c>
      <c r="I386" s="1472">
        <v>760.52855999999997</v>
      </c>
      <c r="J386" s="1473">
        <v>0</v>
      </c>
      <c r="K386" s="1474">
        <v>760.52855999999997</v>
      </c>
      <c r="L386" s="1475">
        <f t="shared" si="28"/>
        <v>0</v>
      </c>
      <c r="M386" s="1372">
        <v>1077</v>
      </c>
      <c r="N386" s="249">
        <v>-316.47143999999997</v>
      </c>
      <c r="O386" s="2405">
        <f t="shared" si="27"/>
        <v>760.52855999999997</v>
      </c>
      <c r="P386" s="2406">
        <v>0</v>
      </c>
      <c r="Q386" s="2407">
        <v>0</v>
      </c>
      <c r="R386" s="2408">
        <v>0</v>
      </c>
      <c r="S386" s="2409">
        <v>0</v>
      </c>
      <c r="T386" s="2407">
        <v>0</v>
      </c>
      <c r="U386" s="1561">
        <v>0</v>
      </c>
      <c r="V386" s="2193">
        <v>0</v>
      </c>
      <c r="W386" s="2193">
        <v>0</v>
      </c>
      <c r="X386" s="2193">
        <v>0</v>
      </c>
      <c r="Y386" s="2191">
        <v>0</v>
      </c>
      <c r="Z386" s="1707" t="s">
        <v>1850</v>
      </c>
      <c r="AA386" s="2410" t="s">
        <v>83</v>
      </c>
      <c r="AB386" s="2411" t="s">
        <v>747</v>
      </c>
      <c r="AC386" s="2412" t="s">
        <v>80</v>
      </c>
      <c r="AD386" s="2078" t="s">
        <v>89</v>
      </c>
      <c r="AE386" s="1709" t="s">
        <v>180</v>
      </c>
      <c r="AF386" s="1709"/>
    </row>
    <row r="387" spans="1:32" ht="26.4" outlineLevel="1" x14ac:dyDescent="0.25">
      <c r="A387" s="23" t="s">
        <v>980</v>
      </c>
      <c r="B387" s="1880" t="s">
        <v>1207</v>
      </c>
      <c r="C387" s="1894" t="s">
        <v>981</v>
      </c>
      <c r="D387" s="1687" t="s">
        <v>1056</v>
      </c>
      <c r="E387" s="1895" t="s">
        <v>103</v>
      </c>
      <c r="F387" s="1688" t="s">
        <v>103</v>
      </c>
      <c r="G387" s="1896">
        <v>837.32</v>
      </c>
      <c r="H387" s="1455">
        <v>171.82</v>
      </c>
      <c r="I387" s="1456">
        <v>665.5</v>
      </c>
      <c r="J387" s="1457">
        <v>0</v>
      </c>
      <c r="K387" s="1458">
        <v>665.5</v>
      </c>
      <c r="L387" s="1459">
        <f t="shared" si="28"/>
        <v>0</v>
      </c>
      <c r="M387" s="1376">
        <v>665.50000000000011</v>
      </c>
      <c r="N387" s="252">
        <v>0</v>
      </c>
      <c r="O387" s="2376">
        <f t="shared" si="27"/>
        <v>665.50000000000011</v>
      </c>
      <c r="P387" s="2377">
        <v>0</v>
      </c>
      <c r="Q387" s="2382">
        <v>0</v>
      </c>
      <c r="R387" s="2383">
        <v>0</v>
      </c>
      <c r="S387" s="2384">
        <v>0</v>
      </c>
      <c r="T387" s="2382">
        <v>0</v>
      </c>
      <c r="U387" s="1558">
        <v>0</v>
      </c>
      <c r="V387" s="1592">
        <v>0</v>
      </c>
      <c r="W387" s="1592">
        <v>0</v>
      </c>
      <c r="X387" s="1592">
        <v>0</v>
      </c>
      <c r="Y387" s="1605">
        <v>0</v>
      </c>
      <c r="Z387" s="1687" t="s">
        <v>72</v>
      </c>
      <c r="AA387" s="2379" t="s">
        <v>83</v>
      </c>
      <c r="AB387" s="2380" t="s">
        <v>409</v>
      </c>
      <c r="AC387" s="2381" t="s">
        <v>80</v>
      </c>
      <c r="AD387" s="2052" t="s">
        <v>89</v>
      </c>
      <c r="AE387" s="1688" t="s">
        <v>180</v>
      </c>
      <c r="AF387" s="1688"/>
    </row>
    <row r="388" spans="1:32" ht="26.4" outlineLevel="1" x14ac:dyDescent="0.25">
      <c r="A388" s="378" t="s">
        <v>982</v>
      </c>
      <c r="B388" s="1856" t="s">
        <v>1208</v>
      </c>
      <c r="C388" s="1857" t="s">
        <v>983</v>
      </c>
      <c r="D388" s="1629" t="s">
        <v>1056</v>
      </c>
      <c r="E388" s="1630" t="s">
        <v>31</v>
      </c>
      <c r="F388" s="1631" t="s">
        <v>31</v>
      </c>
      <c r="G388" s="1858">
        <v>620</v>
      </c>
      <c r="H388" s="1416">
        <v>526.35</v>
      </c>
      <c r="I388" s="1417">
        <v>0</v>
      </c>
      <c r="J388" s="1418">
        <v>0</v>
      </c>
      <c r="K388" s="1419">
        <v>0</v>
      </c>
      <c r="L388" s="1420">
        <f t="shared" si="28"/>
        <v>93.649999999999977</v>
      </c>
      <c r="M388" s="1341">
        <v>93.649999999999977</v>
      </c>
      <c r="N388" s="235">
        <v>0</v>
      </c>
      <c r="O388" s="1488">
        <f t="shared" si="27"/>
        <v>93.649999999999977</v>
      </c>
      <c r="P388" s="2295">
        <v>0</v>
      </c>
      <c r="Q388" s="2180">
        <v>0</v>
      </c>
      <c r="R388" s="2178">
        <v>0</v>
      </c>
      <c r="S388" s="2179">
        <v>0</v>
      </c>
      <c r="T388" s="2180">
        <v>0</v>
      </c>
      <c r="U388" s="1572">
        <v>0</v>
      </c>
      <c r="V388" s="1574">
        <v>0</v>
      </c>
      <c r="W388" s="1574">
        <v>0</v>
      </c>
      <c r="X388" s="1574">
        <v>0</v>
      </c>
      <c r="Y388" s="1607">
        <v>0</v>
      </c>
      <c r="Z388" s="1629" t="s">
        <v>72</v>
      </c>
      <c r="AA388" s="2297" t="s">
        <v>10</v>
      </c>
      <c r="AB388" s="2298" t="s">
        <v>382</v>
      </c>
      <c r="AC388" s="2299" t="s">
        <v>80</v>
      </c>
      <c r="AD388" s="1986" t="s">
        <v>89</v>
      </c>
      <c r="AE388" s="1631" t="s">
        <v>167</v>
      </c>
      <c r="AF388" s="1631"/>
    </row>
    <row r="389" spans="1:32" ht="26.4" outlineLevel="1" x14ac:dyDescent="0.25">
      <c r="A389" s="23" t="s">
        <v>984</v>
      </c>
      <c r="B389" s="1880" t="s">
        <v>1349</v>
      </c>
      <c r="C389" s="1894" t="s">
        <v>985</v>
      </c>
      <c r="D389" s="1687" t="s">
        <v>1056</v>
      </c>
      <c r="E389" s="1895" t="s">
        <v>31</v>
      </c>
      <c r="F389" s="1688" t="s">
        <v>31</v>
      </c>
      <c r="G389" s="1896">
        <v>40</v>
      </c>
      <c r="H389" s="1455">
        <v>0</v>
      </c>
      <c r="I389" s="1456">
        <v>40</v>
      </c>
      <c r="J389" s="1457">
        <v>0</v>
      </c>
      <c r="K389" s="1458">
        <v>40</v>
      </c>
      <c r="L389" s="1459">
        <f t="shared" si="28"/>
        <v>0</v>
      </c>
      <c r="M389" s="1376">
        <v>40</v>
      </c>
      <c r="N389" s="252">
        <v>0</v>
      </c>
      <c r="O389" s="2376">
        <f t="shared" si="27"/>
        <v>40</v>
      </c>
      <c r="P389" s="2377">
        <v>0</v>
      </c>
      <c r="Q389" s="2382">
        <v>0</v>
      </c>
      <c r="R389" s="2383">
        <v>0</v>
      </c>
      <c r="S389" s="2384">
        <v>0</v>
      </c>
      <c r="T389" s="2382">
        <v>0</v>
      </c>
      <c r="U389" s="1558">
        <v>0</v>
      </c>
      <c r="V389" s="1592">
        <v>0</v>
      </c>
      <c r="W389" s="1592">
        <v>0</v>
      </c>
      <c r="X389" s="1592">
        <v>0</v>
      </c>
      <c r="Y389" s="1605">
        <v>0</v>
      </c>
      <c r="Z389" s="1687" t="s">
        <v>72</v>
      </c>
      <c r="AA389" s="2379" t="s">
        <v>83</v>
      </c>
      <c r="AB389" s="2380" t="s">
        <v>448</v>
      </c>
      <c r="AC389" s="2381" t="s">
        <v>79</v>
      </c>
      <c r="AD389" s="2052" t="s">
        <v>89</v>
      </c>
      <c r="AE389" s="1688" t="s">
        <v>167</v>
      </c>
      <c r="AF389" s="1688"/>
    </row>
    <row r="390" spans="1:32" ht="31.2" outlineLevel="1" x14ac:dyDescent="0.25">
      <c r="A390" s="378" t="s">
        <v>987</v>
      </c>
      <c r="B390" s="1856" t="s">
        <v>1350</v>
      </c>
      <c r="C390" s="1857" t="s">
        <v>988</v>
      </c>
      <c r="D390" s="1629" t="s">
        <v>1056</v>
      </c>
      <c r="E390" s="1630" t="s">
        <v>31</v>
      </c>
      <c r="F390" s="1631" t="s">
        <v>31</v>
      </c>
      <c r="G390" s="1858">
        <v>2286.9</v>
      </c>
      <c r="H390" s="1416">
        <v>0</v>
      </c>
      <c r="I390" s="1417">
        <v>268.38844</v>
      </c>
      <c r="J390" s="1418">
        <v>0</v>
      </c>
      <c r="K390" s="1419">
        <v>268.38844</v>
      </c>
      <c r="L390" s="1420">
        <f t="shared" si="28"/>
        <v>0</v>
      </c>
      <c r="M390" s="1341">
        <v>268.38844</v>
      </c>
      <c r="N390" s="235">
        <v>0</v>
      </c>
      <c r="O390" s="1488">
        <f t="shared" si="27"/>
        <v>268.38844</v>
      </c>
      <c r="P390" s="2295">
        <v>2018.5115600000001</v>
      </c>
      <c r="Q390" s="2180">
        <v>0</v>
      </c>
      <c r="R390" s="2178">
        <v>0</v>
      </c>
      <c r="S390" s="2179">
        <v>0</v>
      </c>
      <c r="T390" s="2180">
        <v>0</v>
      </c>
      <c r="U390" s="1572">
        <v>0</v>
      </c>
      <c r="V390" s="1574">
        <v>0</v>
      </c>
      <c r="W390" s="1574">
        <v>0</v>
      </c>
      <c r="X390" s="1574">
        <v>0</v>
      </c>
      <c r="Y390" s="1607">
        <v>0</v>
      </c>
      <c r="Z390" s="1629" t="s">
        <v>72</v>
      </c>
      <c r="AA390" s="2297" t="s">
        <v>8</v>
      </c>
      <c r="AB390" s="2298" t="s">
        <v>1050</v>
      </c>
      <c r="AC390" s="2299" t="s">
        <v>79</v>
      </c>
      <c r="AD390" s="1986" t="s">
        <v>89</v>
      </c>
      <c r="AE390" s="1631" t="s">
        <v>167</v>
      </c>
      <c r="AF390" s="1631"/>
    </row>
    <row r="391" spans="1:32" ht="46.8" outlineLevel="1" x14ac:dyDescent="0.25">
      <c r="A391" s="907" t="s">
        <v>989</v>
      </c>
      <c r="B391" s="908" t="s">
        <v>75</v>
      </c>
      <c r="C391" s="459" t="s">
        <v>990</v>
      </c>
      <c r="D391" s="41" t="s">
        <v>1056</v>
      </c>
      <c r="E391" s="981" t="s">
        <v>30</v>
      </c>
      <c r="F391" s="957" t="s">
        <v>30</v>
      </c>
      <c r="G391" s="94">
        <v>32745.831999999999</v>
      </c>
      <c r="H391" s="138">
        <v>0</v>
      </c>
      <c r="I391" s="994">
        <v>0</v>
      </c>
      <c r="J391" s="995">
        <v>0</v>
      </c>
      <c r="K391" s="95">
        <v>0</v>
      </c>
      <c r="L391" s="139">
        <f t="shared" ref="L391:L411" si="29">O391-K391</f>
        <v>0</v>
      </c>
      <c r="M391" s="101">
        <v>0</v>
      </c>
      <c r="N391" s="685">
        <v>0</v>
      </c>
      <c r="O391" s="685">
        <f t="shared" si="27"/>
        <v>0</v>
      </c>
      <c r="P391" s="64">
        <v>0</v>
      </c>
      <c r="Q391" s="63">
        <v>32745.831999999999</v>
      </c>
      <c r="R391" s="679">
        <v>0</v>
      </c>
      <c r="S391" s="96">
        <v>0</v>
      </c>
      <c r="T391" s="63">
        <v>0</v>
      </c>
      <c r="U391" s="652">
        <v>0</v>
      </c>
      <c r="V391" s="677">
        <v>0</v>
      </c>
      <c r="W391" s="677">
        <v>0</v>
      </c>
      <c r="X391" s="677">
        <v>0</v>
      </c>
      <c r="Y391" s="680">
        <v>0</v>
      </c>
      <c r="Z391" s="41" t="s">
        <v>1851</v>
      </c>
      <c r="AA391" s="62" t="s">
        <v>8</v>
      </c>
      <c r="AB391" s="909" t="s">
        <v>1316</v>
      </c>
      <c r="AC391" s="655" t="s">
        <v>79</v>
      </c>
      <c r="AD391" s="49" t="s">
        <v>89</v>
      </c>
      <c r="AE391" s="957" t="s">
        <v>175</v>
      </c>
      <c r="AF391" s="957"/>
    </row>
    <row r="392" spans="1:32" ht="26.4" outlineLevel="1" x14ac:dyDescent="0.25">
      <c r="A392" s="23" t="s">
        <v>991</v>
      </c>
      <c r="B392" s="1880" t="s">
        <v>1344</v>
      </c>
      <c r="C392" s="1894" t="s">
        <v>992</v>
      </c>
      <c r="D392" s="1687" t="s">
        <v>1056</v>
      </c>
      <c r="E392" s="1895" t="s">
        <v>4</v>
      </c>
      <c r="F392" s="1688" t="s">
        <v>30</v>
      </c>
      <c r="G392" s="1896">
        <v>469.04</v>
      </c>
      <c r="H392" s="1455">
        <v>0</v>
      </c>
      <c r="I392" s="1456">
        <v>469.04</v>
      </c>
      <c r="J392" s="1457">
        <v>0</v>
      </c>
      <c r="K392" s="1458">
        <f>469+0.04</f>
        <v>469.04</v>
      </c>
      <c r="L392" s="1459">
        <f t="shared" si="29"/>
        <v>0</v>
      </c>
      <c r="M392" s="1376">
        <v>469.04</v>
      </c>
      <c r="N392" s="252">
        <v>0</v>
      </c>
      <c r="O392" s="2376">
        <f t="shared" si="27"/>
        <v>469.04</v>
      </c>
      <c r="P392" s="2377">
        <v>0</v>
      </c>
      <c r="Q392" s="2382">
        <v>0</v>
      </c>
      <c r="R392" s="2383">
        <v>0</v>
      </c>
      <c r="S392" s="2384">
        <v>0</v>
      </c>
      <c r="T392" s="2382">
        <v>0</v>
      </c>
      <c r="U392" s="1558">
        <v>0</v>
      </c>
      <c r="V392" s="1592">
        <v>0</v>
      </c>
      <c r="W392" s="1592">
        <v>0</v>
      </c>
      <c r="X392" s="1592">
        <v>0</v>
      </c>
      <c r="Y392" s="1605">
        <v>0</v>
      </c>
      <c r="Z392" s="1687" t="s">
        <v>72</v>
      </c>
      <c r="AA392" s="2379" t="s">
        <v>83</v>
      </c>
      <c r="AB392" s="2380" t="s">
        <v>409</v>
      </c>
      <c r="AC392" s="2381" t="s">
        <v>80</v>
      </c>
      <c r="AD392" s="2052" t="s">
        <v>89</v>
      </c>
      <c r="AE392" s="1688" t="s">
        <v>175</v>
      </c>
      <c r="AF392" s="1688"/>
    </row>
    <row r="393" spans="1:32" ht="46.8" outlineLevel="1" x14ac:dyDescent="0.25">
      <c r="A393" s="23" t="s">
        <v>993</v>
      </c>
      <c r="B393" s="1880" t="s">
        <v>1336</v>
      </c>
      <c r="C393" s="1894" t="s">
        <v>994</v>
      </c>
      <c r="D393" s="1687" t="s">
        <v>1056</v>
      </c>
      <c r="E393" s="1895" t="s">
        <v>34</v>
      </c>
      <c r="F393" s="1688" t="s">
        <v>34</v>
      </c>
      <c r="G393" s="1896">
        <v>894.19</v>
      </c>
      <c r="H393" s="1455">
        <v>0</v>
      </c>
      <c r="I393" s="1456">
        <v>894.19</v>
      </c>
      <c r="J393" s="1457">
        <v>0</v>
      </c>
      <c r="K393" s="1458">
        <v>894.19</v>
      </c>
      <c r="L393" s="1459">
        <f t="shared" si="29"/>
        <v>0</v>
      </c>
      <c r="M393" s="1376">
        <v>894.19</v>
      </c>
      <c r="N393" s="252">
        <v>0</v>
      </c>
      <c r="O393" s="2376">
        <f t="shared" si="27"/>
        <v>894.19</v>
      </c>
      <c r="P393" s="2377">
        <v>0</v>
      </c>
      <c r="Q393" s="2382">
        <v>0</v>
      </c>
      <c r="R393" s="2383">
        <v>0</v>
      </c>
      <c r="S393" s="2384">
        <v>0</v>
      </c>
      <c r="T393" s="2382">
        <v>0</v>
      </c>
      <c r="U393" s="1558">
        <v>0</v>
      </c>
      <c r="V393" s="1592">
        <v>0</v>
      </c>
      <c r="W393" s="1592">
        <v>0</v>
      </c>
      <c r="X393" s="1592">
        <v>0</v>
      </c>
      <c r="Y393" s="1605">
        <v>0</v>
      </c>
      <c r="Z393" s="1687" t="s">
        <v>72</v>
      </c>
      <c r="AA393" s="2379" t="s">
        <v>83</v>
      </c>
      <c r="AB393" s="2380" t="s">
        <v>986</v>
      </c>
      <c r="AC393" s="2381" t="s">
        <v>80</v>
      </c>
      <c r="AD393" s="2052" t="s">
        <v>89</v>
      </c>
      <c r="AE393" s="1688" t="s">
        <v>167</v>
      </c>
      <c r="AF393" s="1688"/>
    </row>
    <row r="394" spans="1:32" ht="31.2" outlineLevel="1" x14ac:dyDescent="0.25">
      <c r="A394" s="23" t="s">
        <v>995</v>
      </c>
      <c r="B394" s="1880" t="s">
        <v>1337</v>
      </c>
      <c r="C394" s="1894" t="s">
        <v>996</v>
      </c>
      <c r="D394" s="1687" t="s">
        <v>1056</v>
      </c>
      <c r="E394" s="1895" t="s">
        <v>34</v>
      </c>
      <c r="F394" s="1688" t="s">
        <v>34</v>
      </c>
      <c r="G394" s="1896">
        <v>569</v>
      </c>
      <c r="H394" s="1455">
        <v>0</v>
      </c>
      <c r="I394" s="1456">
        <v>569</v>
      </c>
      <c r="J394" s="1457">
        <v>0</v>
      </c>
      <c r="K394" s="1458">
        <v>569</v>
      </c>
      <c r="L394" s="1459">
        <f t="shared" si="29"/>
        <v>0</v>
      </c>
      <c r="M394" s="1376">
        <v>569</v>
      </c>
      <c r="N394" s="252">
        <v>0</v>
      </c>
      <c r="O394" s="2376">
        <f t="shared" si="27"/>
        <v>569</v>
      </c>
      <c r="P394" s="2377">
        <v>0</v>
      </c>
      <c r="Q394" s="2382">
        <v>0</v>
      </c>
      <c r="R394" s="2383">
        <v>0</v>
      </c>
      <c r="S394" s="2384">
        <v>0</v>
      </c>
      <c r="T394" s="2382">
        <v>0</v>
      </c>
      <c r="U394" s="1558">
        <v>0</v>
      </c>
      <c r="V394" s="1592">
        <v>0</v>
      </c>
      <c r="W394" s="1592">
        <v>0</v>
      </c>
      <c r="X394" s="1592">
        <v>0</v>
      </c>
      <c r="Y394" s="1605">
        <v>0</v>
      </c>
      <c r="Z394" s="1687" t="s">
        <v>72</v>
      </c>
      <c r="AA394" s="2379" t="s">
        <v>83</v>
      </c>
      <c r="AB394" s="2380" t="s">
        <v>986</v>
      </c>
      <c r="AC394" s="2381" t="s">
        <v>80</v>
      </c>
      <c r="AD394" s="2052" t="s">
        <v>89</v>
      </c>
      <c r="AE394" s="1688" t="s">
        <v>167</v>
      </c>
      <c r="AF394" s="1688"/>
    </row>
    <row r="395" spans="1:32" ht="26.4" outlineLevel="1" x14ac:dyDescent="0.25">
      <c r="A395" s="23" t="s">
        <v>997</v>
      </c>
      <c r="B395" s="1880" t="s">
        <v>1338</v>
      </c>
      <c r="C395" s="1894" t="s">
        <v>998</v>
      </c>
      <c r="D395" s="1687" t="s">
        <v>1056</v>
      </c>
      <c r="E395" s="1895" t="s">
        <v>34</v>
      </c>
      <c r="F395" s="1688" t="s">
        <v>34</v>
      </c>
      <c r="G395" s="1896">
        <v>114.95</v>
      </c>
      <c r="H395" s="1455">
        <v>0</v>
      </c>
      <c r="I395" s="1456">
        <v>114.95</v>
      </c>
      <c r="J395" s="1457">
        <v>0</v>
      </c>
      <c r="K395" s="1458">
        <v>114.95</v>
      </c>
      <c r="L395" s="1459">
        <f t="shared" si="29"/>
        <v>0</v>
      </c>
      <c r="M395" s="1376">
        <v>114.95</v>
      </c>
      <c r="N395" s="252">
        <v>0</v>
      </c>
      <c r="O395" s="2376">
        <f t="shared" si="27"/>
        <v>114.95</v>
      </c>
      <c r="P395" s="2377">
        <v>0</v>
      </c>
      <c r="Q395" s="2382">
        <v>0</v>
      </c>
      <c r="R395" s="2383">
        <v>0</v>
      </c>
      <c r="S395" s="2384">
        <v>0</v>
      </c>
      <c r="T395" s="2382">
        <v>0</v>
      </c>
      <c r="U395" s="1558">
        <v>0</v>
      </c>
      <c r="V395" s="1592">
        <v>0</v>
      </c>
      <c r="W395" s="1592">
        <v>0</v>
      </c>
      <c r="X395" s="1592">
        <v>0</v>
      </c>
      <c r="Y395" s="1605">
        <v>0</v>
      </c>
      <c r="Z395" s="1687" t="s">
        <v>72</v>
      </c>
      <c r="AA395" s="2379" t="s">
        <v>83</v>
      </c>
      <c r="AB395" s="2380" t="s">
        <v>677</v>
      </c>
      <c r="AC395" s="2381" t="s">
        <v>80</v>
      </c>
      <c r="AD395" s="2052" t="s">
        <v>89</v>
      </c>
      <c r="AE395" s="1688" t="s">
        <v>167</v>
      </c>
      <c r="AF395" s="1688"/>
    </row>
    <row r="396" spans="1:32" ht="46.8" outlineLevel="1" x14ac:dyDescent="0.25">
      <c r="A396" s="378" t="s">
        <v>999</v>
      </c>
      <c r="B396" s="1856" t="s">
        <v>75</v>
      </c>
      <c r="C396" s="1857" t="s">
        <v>1000</v>
      </c>
      <c r="D396" s="1629" t="s">
        <v>1056</v>
      </c>
      <c r="E396" s="1630" t="s">
        <v>284</v>
      </c>
      <c r="F396" s="1631" t="s">
        <v>284</v>
      </c>
      <c r="G396" s="1858">
        <v>270</v>
      </c>
      <c r="H396" s="1416">
        <v>0</v>
      </c>
      <c r="I396" s="1417">
        <v>0</v>
      </c>
      <c r="J396" s="1418">
        <v>0</v>
      </c>
      <c r="K396" s="1419">
        <v>0</v>
      </c>
      <c r="L396" s="1420">
        <f t="shared" si="29"/>
        <v>270</v>
      </c>
      <c r="M396" s="1341">
        <v>270</v>
      </c>
      <c r="N396" s="235">
        <v>0</v>
      </c>
      <c r="O396" s="1488">
        <f t="shared" si="27"/>
        <v>270</v>
      </c>
      <c r="P396" s="2295">
        <v>0</v>
      </c>
      <c r="Q396" s="2180">
        <v>0</v>
      </c>
      <c r="R396" s="2178">
        <v>0</v>
      </c>
      <c r="S396" s="2179">
        <v>0</v>
      </c>
      <c r="T396" s="2180">
        <v>0</v>
      </c>
      <c r="U396" s="1572">
        <v>0</v>
      </c>
      <c r="V396" s="1574">
        <v>0</v>
      </c>
      <c r="W396" s="1574">
        <v>0</v>
      </c>
      <c r="X396" s="1574">
        <v>0</v>
      </c>
      <c r="Y396" s="1607">
        <v>0</v>
      </c>
      <c r="Z396" s="1629" t="s">
        <v>72</v>
      </c>
      <c r="AA396" s="2297" t="s">
        <v>8</v>
      </c>
      <c r="AB396" s="2298" t="s">
        <v>449</v>
      </c>
      <c r="AC396" s="2299" t="s">
        <v>79</v>
      </c>
      <c r="AD396" s="1986" t="s">
        <v>89</v>
      </c>
      <c r="AE396" s="1631" t="s">
        <v>184</v>
      </c>
      <c r="AF396" s="1631"/>
    </row>
    <row r="397" spans="1:32" ht="31.2" outlineLevel="1" x14ac:dyDescent="0.25">
      <c r="A397" s="23" t="s">
        <v>1001</v>
      </c>
      <c r="B397" s="1880" t="s">
        <v>1342</v>
      </c>
      <c r="C397" s="1894" t="s">
        <v>1002</v>
      </c>
      <c r="D397" s="1687" t="s">
        <v>1056</v>
      </c>
      <c r="E397" s="1895" t="s">
        <v>259</v>
      </c>
      <c r="F397" s="1688" t="s">
        <v>259</v>
      </c>
      <c r="G397" s="1896">
        <v>143.21</v>
      </c>
      <c r="H397" s="1455">
        <v>0</v>
      </c>
      <c r="I397" s="1456">
        <v>143.21</v>
      </c>
      <c r="J397" s="1457">
        <v>0</v>
      </c>
      <c r="K397" s="1458">
        <v>143.21</v>
      </c>
      <c r="L397" s="1459">
        <f t="shared" si="29"/>
        <v>0</v>
      </c>
      <c r="M397" s="1376">
        <v>143.21</v>
      </c>
      <c r="N397" s="252">
        <v>0</v>
      </c>
      <c r="O397" s="2376">
        <f t="shared" si="27"/>
        <v>143.21</v>
      </c>
      <c r="P397" s="2377">
        <v>0</v>
      </c>
      <c r="Q397" s="2382">
        <v>0</v>
      </c>
      <c r="R397" s="2383">
        <v>0</v>
      </c>
      <c r="S397" s="2384">
        <v>0</v>
      </c>
      <c r="T397" s="2382">
        <v>0</v>
      </c>
      <c r="U397" s="1558">
        <v>0</v>
      </c>
      <c r="V397" s="1592">
        <v>0</v>
      </c>
      <c r="W397" s="1592">
        <v>0</v>
      </c>
      <c r="X397" s="1592">
        <v>0</v>
      </c>
      <c r="Y397" s="1605">
        <v>0</v>
      </c>
      <c r="Z397" s="1687" t="s">
        <v>72</v>
      </c>
      <c r="AA397" s="2379" t="s">
        <v>83</v>
      </c>
      <c r="AB397" s="2380" t="s">
        <v>677</v>
      </c>
      <c r="AC397" s="2381" t="s">
        <v>80</v>
      </c>
      <c r="AD397" s="2052" t="s">
        <v>89</v>
      </c>
      <c r="AE397" s="1688" t="s">
        <v>178</v>
      </c>
      <c r="AF397" s="1688"/>
    </row>
    <row r="398" spans="1:32" ht="31.2" outlineLevel="1" x14ac:dyDescent="0.25">
      <c r="A398" s="23" t="s">
        <v>1003</v>
      </c>
      <c r="B398" s="1880" t="s">
        <v>1383</v>
      </c>
      <c r="C398" s="1894" t="s">
        <v>1004</v>
      </c>
      <c r="D398" s="1687" t="s">
        <v>1056</v>
      </c>
      <c r="E398" s="1895" t="s">
        <v>259</v>
      </c>
      <c r="F398" s="1688" t="s">
        <v>259</v>
      </c>
      <c r="G398" s="1896">
        <v>166.619</v>
      </c>
      <c r="H398" s="1455">
        <v>0</v>
      </c>
      <c r="I398" s="1456">
        <v>166.619</v>
      </c>
      <c r="J398" s="1457">
        <v>0</v>
      </c>
      <c r="K398" s="1458">
        <v>166.619</v>
      </c>
      <c r="L398" s="1459">
        <f t="shared" si="29"/>
        <v>0</v>
      </c>
      <c r="M398" s="1376">
        <v>166.619</v>
      </c>
      <c r="N398" s="252">
        <v>0</v>
      </c>
      <c r="O398" s="2376">
        <f t="shared" si="27"/>
        <v>166.619</v>
      </c>
      <c r="P398" s="2377">
        <v>0</v>
      </c>
      <c r="Q398" s="2382">
        <v>0</v>
      </c>
      <c r="R398" s="2383">
        <v>0</v>
      </c>
      <c r="S398" s="2384">
        <v>0</v>
      </c>
      <c r="T398" s="2382">
        <v>0</v>
      </c>
      <c r="U398" s="1558">
        <v>0</v>
      </c>
      <c r="V398" s="1592">
        <v>0</v>
      </c>
      <c r="W398" s="1592">
        <v>0</v>
      </c>
      <c r="X398" s="1592">
        <v>0</v>
      </c>
      <c r="Y398" s="1605">
        <v>0</v>
      </c>
      <c r="Z398" s="1687" t="s">
        <v>72</v>
      </c>
      <c r="AA398" s="2379" t="s">
        <v>83</v>
      </c>
      <c r="AB398" s="2380" t="s">
        <v>986</v>
      </c>
      <c r="AC398" s="2381" t="s">
        <v>80</v>
      </c>
      <c r="AD398" s="2052" t="s">
        <v>89</v>
      </c>
      <c r="AE398" s="1688" t="s">
        <v>178</v>
      </c>
      <c r="AF398" s="1688"/>
    </row>
    <row r="399" spans="1:32" ht="31.8" outlineLevel="1" thickBot="1" x14ac:dyDescent="0.3">
      <c r="A399" s="610" t="s">
        <v>1005</v>
      </c>
      <c r="B399" s="910" t="s">
        <v>75</v>
      </c>
      <c r="C399" s="911" t="s">
        <v>1006</v>
      </c>
      <c r="D399" s="56" t="s">
        <v>1056</v>
      </c>
      <c r="E399" s="983" t="s">
        <v>259</v>
      </c>
      <c r="F399" s="984" t="s">
        <v>259</v>
      </c>
      <c r="G399" s="102">
        <v>49888.3</v>
      </c>
      <c r="H399" s="141">
        <v>0</v>
      </c>
      <c r="I399" s="996">
        <v>0</v>
      </c>
      <c r="J399" s="997">
        <v>0</v>
      </c>
      <c r="K399" s="104">
        <v>0</v>
      </c>
      <c r="L399" s="142">
        <f t="shared" si="29"/>
        <v>0</v>
      </c>
      <c r="M399" s="714">
        <v>0</v>
      </c>
      <c r="N399" s="713">
        <v>0</v>
      </c>
      <c r="O399" s="713">
        <f t="shared" si="27"/>
        <v>0</v>
      </c>
      <c r="P399" s="71">
        <v>0</v>
      </c>
      <c r="Q399" s="105">
        <v>49888.3</v>
      </c>
      <c r="R399" s="750">
        <v>0</v>
      </c>
      <c r="S399" s="106">
        <v>0</v>
      </c>
      <c r="T399" s="105">
        <v>0</v>
      </c>
      <c r="U399" s="666">
        <v>0</v>
      </c>
      <c r="V399" s="716">
        <v>0</v>
      </c>
      <c r="W399" s="753">
        <v>0</v>
      </c>
      <c r="X399" s="716">
        <v>0</v>
      </c>
      <c r="Y399" s="717">
        <v>0</v>
      </c>
      <c r="Z399" s="56" t="s">
        <v>1852</v>
      </c>
      <c r="AA399" s="140" t="s">
        <v>8</v>
      </c>
      <c r="AB399" s="912" t="s">
        <v>449</v>
      </c>
      <c r="AC399" s="674" t="s">
        <v>79</v>
      </c>
      <c r="AD399" s="112" t="s">
        <v>90</v>
      </c>
      <c r="AE399" s="984" t="s">
        <v>178</v>
      </c>
      <c r="AF399" s="984"/>
    </row>
    <row r="400" spans="1:32" ht="26.4" outlineLevel="1" x14ac:dyDescent="0.25">
      <c r="A400" s="877" t="s">
        <v>1156</v>
      </c>
      <c r="B400" s="878" t="s">
        <v>1206</v>
      </c>
      <c r="C400" s="448" t="s">
        <v>1157</v>
      </c>
      <c r="D400" s="40" t="s">
        <v>1219</v>
      </c>
      <c r="E400" s="947" t="s">
        <v>28</v>
      </c>
      <c r="F400" s="948" t="s">
        <v>28</v>
      </c>
      <c r="G400" s="89">
        <v>14160</v>
      </c>
      <c r="H400" s="879">
        <v>20</v>
      </c>
      <c r="I400" s="987">
        <v>0</v>
      </c>
      <c r="J400" s="988">
        <v>40</v>
      </c>
      <c r="K400" s="880">
        <v>0</v>
      </c>
      <c r="L400" s="881">
        <f t="shared" si="29"/>
        <v>5080</v>
      </c>
      <c r="M400" s="688">
        <v>7500</v>
      </c>
      <c r="N400" s="676">
        <v>-2420</v>
      </c>
      <c r="O400" s="676">
        <f t="shared" si="27"/>
        <v>5080</v>
      </c>
      <c r="P400" s="61">
        <v>9060</v>
      </c>
      <c r="Q400" s="743">
        <v>0</v>
      </c>
      <c r="R400" s="741">
        <v>0</v>
      </c>
      <c r="S400" s="742">
        <v>0</v>
      </c>
      <c r="T400" s="743">
        <v>0</v>
      </c>
      <c r="U400" s="619">
        <v>0</v>
      </c>
      <c r="V400" s="690">
        <v>0</v>
      </c>
      <c r="W400" s="690">
        <v>0</v>
      </c>
      <c r="X400" s="690">
        <v>0</v>
      </c>
      <c r="Y400" s="691">
        <v>0</v>
      </c>
      <c r="Z400" s="40" t="s">
        <v>1853</v>
      </c>
      <c r="AA400" s="39" t="s">
        <v>10</v>
      </c>
      <c r="AB400" s="882" t="s">
        <v>449</v>
      </c>
      <c r="AC400" s="623" t="s">
        <v>80</v>
      </c>
      <c r="AD400" s="114" t="s">
        <v>89</v>
      </c>
      <c r="AE400" s="948" t="s">
        <v>172</v>
      </c>
      <c r="AF400" s="948"/>
    </row>
    <row r="401" spans="1:32" ht="31.2" outlineLevel="1" x14ac:dyDescent="0.25">
      <c r="A401" s="378" t="s">
        <v>1158</v>
      </c>
      <c r="B401" s="1856" t="s">
        <v>75</v>
      </c>
      <c r="C401" s="1857" t="s">
        <v>1159</v>
      </c>
      <c r="D401" s="1629" t="s">
        <v>1219</v>
      </c>
      <c r="E401" s="1630" t="s">
        <v>103</v>
      </c>
      <c r="F401" s="1631" t="s">
        <v>103</v>
      </c>
      <c r="G401" s="1858">
        <v>890</v>
      </c>
      <c r="H401" s="1416">
        <v>0</v>
      </c>
      <c r="I401" s="1417">
        <v>0</v>
      </c>
      <c r="J401" s="1418">
        <v>0</v>
      </c>
      <c r="K401" s="1419">
        <v>0</v>
      </c>
      <c r="L401" s="1476">
        <f t="shared" si="29"/>
        <v>890</v>
      </c>
      <c r="M401" s="1341">
        <v>890</v>
      </c>
      <c r="N401" s="235">
        <v>0</v>
      </c>
      <c r="O401" s="1488">
        <f t="shared" si="27"/>
        <v>890</v>
      </c>
      <c r="P401" s="2295">
        <v>0</v>
      </c>
      <c r="Q401" s="2180">
        <v>0</v>
      </c>
      <c r="R401" s="2178">
        <v>0</v>
      </c>
      <c r="S401" s="2179">
        <v>0</v>
      </c>
      <c r="T401" s="2180">
        <v>0</v>
      </c>
      <c r="U401" s="1572">
        <v>0</v>
      </c>
      <c r="V401" s="1574">
        <v>0</v>
      </c>
      <c r="W401" s="1574">
        <v>0</v>
      </c>
      <c r="X401" s="1574">
        <v>0</v>
      </c>
      <c r="Y401" s="1607">
        <v>0</v>
      </c>
      <c r="Z401" s="1629" t="s">
        <v>72</v>
      </c>
      <c r="AA401" s="2297" t="s">
        <v>10</v>
      </c>
      <c r="AB401" s="2298" t="s">
        <v>382</v>
      </c>
      <c r="AC401" s="2299" t="s">
        <v>80</v>
      </c>
      <c r="AD401" s="1986" t="s">
        <v>89</v>
      </c>
      <c r="AE401" s="1631" t="s">
        <v>180</v>
      </c>
      <c r="AF401" s="1631"/>
    </row>
    <row r="402" spans="1:32" ht="46.8" outlineLevel="1" x14ac:dyDescent="0.25">
      <c r="A402" s="328" t="s">
        <v>1160</v>
      </c>
      <c r="B402" s="1846" t="s">
        <v>1343</v>
      </c>
      <c r="C402" s="1847" t="s">
        <v>1161</v>
      </c>
      <c r="D402" s="1742" t="s">
        <v>1219</v>
      </c>
      <c r="E402" s="1848" t="s">
        <v>46</v>
      </c>
      <c r="F402" s="1849" t="s">
        <v>46</v>
      </c>
      <c r="G402" s="1850">
        <v>429</v>
      </c>
      <c r="H402" s="1404">
        <v>0</v>
      </c>
      <c r="I402" s="1405">
        <v>429</v>
      </c>
      <c r="J402" s="1406">
        <v>0</v>
      </c>
      <c r="K402" s="1407">
        <v>429</v>
      </c>
      <c r="L402" s="1408">
        <f t="shared" si="29"/>
        <v>0</v>
      </c>
      <c r="M402" s="1409">
        <v>429</v>
      </c>
      <c r="N402" s="329">
        <v>0</v>
      </c>
      <c r="O402" s="2413">
        <f t="shared" si="27"/>
        <v>429</v>
      </c>
      <c r="P402" s="2270">
        <v>0</v>
      </c>
      <c r="Q402" s="2274">
        <v>0</v>
      </c>
      <c r="R402" s="2272">
        <v>0</v>
      </c>
      <c r="S402" s="2273">
        <v>0</v>
      </c>
      <c r="T402" s="2274">
        <v>0</v>
      </c>
      <c r="U402" s="2275">
        <v>0</v>
      </c>
      <c r="V402" s="2276">
        <v>0</v>
      </c>
      <c r="W402" s="2276">
        <v>0</v>
      </c>
      <c r="X402" s="2276">
        <v>0</v>
      </c>
      <c r="Y402" s="2277">
        <v>0</v>
      </c>
      <c r="Z402" s="1874" t="s">
        <v>72</v>
      </c>
      <c r="AA402" s="2278" t="s">
        <v>83</v>
      </c>
      <c r="AB402" s="2279" t="s">
        <v>986</v>
      </c>
      <c r="AC402" s="2280" t="s">
        <v>80</v>
      </c>
      <c r="AD402" s="2281" t="s">
        <v>89</v>
      </c>
      <c r="AE402" s="1849" t="s">
        <v>388</v>
      </c>
      <c r="AF402" s="1849"/>
    </row>
    <row r="403" spans="1:32" ht="31.2" outlineLevel="1" x14ac:dyDescent="0.25">
      <c r="A403" s="256" t="s">
        <v>1163</v>
      </c>
      <c r="B403" s="1863" t="s">
        <v>1320</v>
      </c>
      <c r="C403" s="1910" t="s">
        <v>1164</v>
      </c>
      <c r="D403" s="1687" t="s">
        <v>1219</v>
      </c>
      <c r="E403" s="1865" t="s">
        <v>284</v>
      </c>
      <c r="F403" s="1866" t="s">
        <v>284</v>
      </c>
      <c r="G403" s="1867">
        <v>212.8389</v>
      </c>
      <c r="H403" s="1427">
        <v>0</v>
      </c>
      <c r="I403" s="1428">
        <v>212.8389</v>
      </c>
      <c r="J403" s="1429">
        <v>0</v>
      </c>
      <c r="K403" s="1430">
        <v>212.8389</v>
      </c>
      <c r="L403" s="1431">
        <f t="shared" si="29"/>
        <v>0</v>
      </c>
      <c r="M403" s="1432">
        <v>212.8389</v>
      </c>
      <c r="N403" s="257">
        <v>0</v>
      </c>
      <c r="O403" s="2312">
        <f t="shared" si="27"/>
        <v>212.8389</v>
      </c>
      <c r="P403" s="2313">
        <v>0</v>
      </c>
      <c r="Q403" s="2317">
        <v>0</v>
      </c>
      <c r="R403" s="2315">
        <v>0</v>
      </c>
      <c r="S403" s="2316">
        <v>0</v>
      </c>
      <c r="T403" s="2317">
        <v>0</v>
      </c>
      <c r="U403" s="2318">
        <v>0</v>
      </c>
      <c r="V403" s="2319">
        <v>0</v>
      </c>
      <c r="W403" s="2319">
        <v>0</v>
      </c>
      <c r="X403" s="2319">
        <v>0</v>
      </c>
      <c r="Y403" s="2348">
        <v>0</v>
      </c>
      <c r="Z403" s="1814" t="s">
        <v>72</v>
      </c>
      <c r="AA403" s="2320" t="s">
        <v>83</v>
      </c>
      <c r="AB403" s="2321" t="s">
        <v>528</v>
      </c>
      <c r="AC403" s="2322" t="s">
        <v>80</v>
      </c>
      <c r="AD403" s="2323" t="s">
        <v>89</v>
      </c>
      <c r="AE403" s="1866" t="s">
        <v>184</v>
      </c>
      <c r="AF403" s="1866"/>
    </row>
    <row r="404" spans="1:32" ht="27" outlineLevel="1" thickBot="1" x14ac:dyDescent="0.3">
      <c r="A404" s="34" t="s">
        <v>1165</v>
      </c>
      <c r="B404" s="1891" t="s">
        <v>1321</v>
      </c>
      <c r="C404" s="1843" t="s">
        <v>1166</v>
      </c>
      <c r="D404" s="1755" t="s">
        <v>1219</v>
      </c>
      <c r="E404" s="1844" t="s">
        <v>32</v>
      </c>
      <c r="F404" s="1845" t="s">
        <v>32</v>
      </c>
      <c r="G404" s="1842">
        <v>280</v>
      </c>
      <c r="H404" s="1398">
        <v>0</v>
      </c>
      <c r="I404" s="1399">
        <v>280</v>
      </c>
      <c r="J404" s="1400">
        <v>0</v>
      </c>
      <c r="K404" s="1401">
        <v>280</v>
      </c>
      <c r="L404" s="1402">
        <f t="shared" si="29"/>
        <v>0</v>
      </c>
      <c r="M404" s="1403">
        <v>280</v>
      </c>
      <c r="N404" s="324">
        <v>0</v>
      </c>
      <c r="O404" s="2255">
        <f t="shared" si="27"/>
        <v>280</v>
      </c>
      <c r="P404" s="2256">
        <v>0</v>
      </c>
      <c r="Q404" s="2260">
        <v>0</v>
      </c>
      <c r="R404" s="2258">
        <v>0</v>
      </c>
      <c r="S404" s="2259">
        <v>0</v>
      </c>
      <c r="T404" s="2260">
        <v>0</v>
      </c>
      <c r="U404" s="1583">
        <v>0</v>
      </c>
      <c r="V404" s="1585">
        <v>0</v>
      </c>
      <c r="W404" s="1585">
        <v>0</v>
      </c>
      <c r="X404" s="1585">
        <v>0</v>
      </c>
      <c r="Y404" s="2261">
        <v>0</v>
      </c>
      <c r="Z404" s="1755" t="s">
        <v>72</v>
      </c>
      <c r="AA404" s="2265" t="s">
        <v>83</v>
      </c>
      <c r="AB404" s="2266" t="s">
        <v>677</v>
      </c>
      <c r="AC404" s="2267" t="s">
        <v>80</v>
      </c>
      <c r="AD404" s="2136" t="s">
        <v>89</v>
      </c>
      <c r="AE404" s="1845" t="s">
        <v>181</v>
      </c>
      <c r="AF404" s="1845"/>
    </row>
    <row r="405" spans="1:32" ht="26.4" outlineLevel="1" x14ac:dyDescent="0.25">
      <c r="A405" s="406" t="s">
        <v>1322</v>
      </c>
      <c r="B405" s="1911" t="s">
        <v>1461</v>
      </c>
      <c r="C405" s="1912" t="s">
        <v>1323</v>
      </c>
      <c r="D405" s="1642" t="s">
        <v>1417</v>
      </c>
      <c r="E405" s="1913" t="s">
        <v>4</v>
      </c>
      <c r="F405" s="1913" t="s">
        <v>32</v>
      </c>
      <c r="G405" s="1914">
        <v>77.8</v>
      </c>
      <c r="H405" s="1477">
        <v>0</v>
      </c>
      <c r="I405" s="1478">
        <v>7.8</v>
      </c>
      <c r="J405" s="1479">
        <v>0</v>
      </c>
      <c r="K405" s="1480">
        <v>7.8</v>
      </c>
      <c r="L405" s="1481">
        <f t="shared" si="29"/>
        <v>0</v>
      </c>
      <c r="M405" s="1361">
        <v>7.8</v>
      </c>
      <c r="N405" s="365">
        <v>0</v>
      </c>
      <c r="O405" s="2414">
        <f t="shared" si="27"/>
        <v>7.8</v>
      </c>
      <c r="P405" s="2415">
        <v>70</v>
      </c>
      <c r="Q405" s="2416">
        <v>0</v>
      </c>
      <c r="R405" s="2417">
        <v>0</v>
      </c>
      <c r="S405" s="2418">
        <v>0</v>
      </c>
      <c r="T405" s="2416">
        <v>0</v>
      </c>
      <c r="U405" s="1543">
        <v>0</v>
      </c>
      <c r="V405" s="1576">
        <v>0</v>
      </c>
      <c r="W405" s="1576">
        <v>0</v>
      </c>
      <c r="X405" s="1576">
        <v>0</v>
      </c>
      <c r="Y405" s="1608">
        <v>0</v>
      </c>
      <c r="Z405" s="1923" t="s">
        <v>1656</v>
      </c>
      <c r="AA405" s="2419" t="s">
        <v>24</v>
      </c>
      <c r="AB405" s="12" t="s">
        <v>450</v>
      </c>
      <c r="AC405" s="2420" t="s">
        <v>79</v>
      </c>
      <c r="AD405" s="2421" t="s">
        <v>89</v>
      </c>
      <c r="AE405" s="1913" t="s">
        <v>388</v>
      </c>
      <c r="AF405" s="1913" t="s">
        <v>84</v>
      </c>
    </row>
    <row r="406" spans="1:32" ht="27" outlineLevel="1" thickBot="1" x14ac:dyDescent="0.3">
      <c r="A406" s="405" t="s">
        <v>1324</v>
      </c>
      <c r="B406" s="1882" t="s">
        <v>75</v>
      </c>
      <c r="C406" s="1883" t="s">
        <v>1325</v>
      </c>
      <c r="D406" s="1661" t="s">
        <v>1417</v>
      </c>
      <c r="E406" s="1663" t="s">
        <v>4</v>
      </c>
      <c r="F406" s="1663" t="s">
        <v>27</v>
      </c>
      <c r="G406" s="1884">
        <v>41.018000000000001</v>
      </c>
      <c r="H406" s="1444">
        <v>0</v>
      </c>
      <c r="I406" s="1445">
        <v>0</v>
      </c>
      <c r="J406" s="1446">
        <v>0</v>
      </c>
      <c r="K406" s="1447">
        <v>0</v>
      </c>
      <c r="L406" s="1448">
        <f t="shared" si="29"/>
        <v>41.018000000000001</v>
      </c>
      <c r="M406" s="1364">
        <v>41.018000000000001</v>
      </c>
      <c r="N406" s="236">
        <v>0</v>
      </c>
      <c r="O406" s="2349">
        <f t="shared" si="27"/>
        <v>41.018000000000001</v>
      </c>
      <c r="P406" s="2350">
        <v>0</v>
      </c>
      <c r="Q406" s="2354">
        <v>0</v>
      </c>
      <c r="R406" s="2352">
        <v>0</v>
      </c>
      <c r="S406" s="2353">
        <v>0</v>
      </c>
      <c r="T406" s="2354">
        <v>0</v>
      </c>
      <c r="U406" s="1567">
        <v>0</v>
      </c>
      <c r="V406" s="1590">
        <v>0</v>
      </c>
      <c r="W406" s="1590">
        <v>0</v>
      </c>
      <c r="X406" s="1590">
        <v>0</v>
      </c>
      <c r="Y406" s="1600">
        <v>0</v>
      </c>
      <c r="Z406" s="1661" t="s">
        <v>72</v>
      </c>
      <c r="AA406" s="1670" t="s">
        <v>24</v>
      </c>
      <c r="AB406" s="2355" t="s">
        <v>382</v>
      </c>
      <c r="AC406" s="2356" t="s">
        <v>79</v>
      </c>
      <c r="AD406" s="15" t="s">
        <v>89</v>
      </c>
      <c r="AE406" s="1663" t="s">
        <v>388</v>
      </c>
      <c r="AF406" s="1663"/>
    </row>
    <row r="407" spans="1:32" ht="26.4" outlineLevel="1" x14ac:dyDescent="0.25">
      <c r="A407" s="445" t="s">
        <v>1462</v>
      </c>
      <c r="B407" s="1911" t="s">
        <v>75</v>
      </c>
      <c r="C407" s="1912" t="s">
        <v>1463</v>
      </c>
      <c r="D407" s="1642" t="s">
        <v>1513</v>
      </c>
      <c r="E407" s="1915" t="s">
        <v>284</v>
      </c>
      <c r="F407" s="1913" t="s">
        <v>284</v>
      </c>
      <c r="G407" s="1914">
        <v>250</v>
      </c>
      <c r="H407" s="1482">
        <v>0</v>
      </c>
      <c r="I407" s="1483">
        <v>0</v>
      </c>
      <c r="J407" s="1484">
        <v>0</v>
      </c>
      <c r="K407" s="1485">
        <v>0</v>
      </c>
      <c r="L407" s="1486">
        <f t="shared" si="29"/>
        <v>250</v>
      </c>
      <c r="M407" s="1487">
        <v>250</v>
      </c>
      <c r="N407" s="275">
        <v>0</v>
      </c>
      <c r="O407" s="2422">
        <f t="shared" si="27"/>
        <v>250</v>
      </c>
      <c r="P407" s="2423">
        <v>0</v>
      </c>
      <c r="Q407" s="28">
        <v>0</v>
      </c>
      <c r="R407" s="2424">
        <v>0</v>
      </c>
      <c r="S407" s="2425">
        <v>0</v>
      </c>
      <c r="T407" s="28">
        <v>0</v>
      </c>
      <c r="U407" s="1594">
        <v>0</v>
      </c>
      <c r="V407" s="1596">
        <v>0</v>
      </c>
      <c r="W407" s="1596">
        <v>0</v>
      </c>
      <c r="X407" s="1596">
        <v>0</v>
      </c>
      <c r="Y407" s="16">
        <v>0</v>
      </c>
      <c r="Z407" s="1923" t="s">
        <v>72</v>
      </c>
      <c r="AA407" s="2419" t="s">
        <v>6</v>
      </c>
      <c r="AB407" s="12" t="s">
        <v>533</v>
      </c>
      <c r="AC407" s="2420" t="s">
        <v>79</v>
      </c>
      <c r="AD407" s="2421" t="s">
        <v>89</v>
      </c>
      <c r="AE407" s="1913" t="s">
        <v>184</v>
      </c>
      <c r="AF407" s="1913"/>
    </row>
    <row r="408" spans="1:32" ht="31.2" outlineLevel="1" x14ac:dyDescent="0.25">
      <c r="A408" s="377" t="s">
        <v>1464</v>
      </c>
      <c r="B408" s="1875" t="s">
        <v>75</v>
      </c>
      <c r="C408" s="1876" t="s">
        <v>1465</v>
      </c>
      <c r="D408" s="1642" t="s">
        <v>1513</v>
      </c>
      <c r="E408" s="1877" t="s">
        <v>465</v>
      </c>
      <c r="F408" s="1878" t="s">
        <v>465</v>
      </c>
      <c r="G408" s="1879">
        <v>500</v>
      </c>
      <c r="H408" s="1416">
        <v>0</v>
      </c>
      <c r="I408" s="1417">
        <v>0</v>
      </c>
      <c r="J408" s="1418">
        <v>0</v>
      </c>
      <c r="K408" s="1419">
        <v>0</v>
      </c>
      <c r="L408" s="1476">
        <f t="shared" si="29"/>
        <v>500</v>
      </c>
      <c r="M408" s="1488">
        <v>500</v>
      </c>
      <c r="N408" s="235">
        <v>0</v>
      </c>
      <c r="O408" s="1488">
        <f t="shared" si="27"/>
        <v>500</v>
      </c>
      <c r="P408" s="2339">
        <v>0</v>
      </c>
      <c r="Q408" s="2343">
        <v>0</v>
      </c>
      <c r="R408" s="2341">
        <v>0</v>
      </c>
      <c r="S408" s="2342">
        <v>0</v>
      </c>
      <c r="T408" s="2343">
        <v>0</v>
      </c>
      <c r="U408" s="2204">
        <v>0</v>
      </c>
      <c r="V408" s="1574">
        <v>0</v>
      </c>
      <c r="W408" s="1574">
        <v>0</v>
      </c>
      <c r="X408" s="2206">
        <v>0</v>
      </c>
      <c r="Y408" s="2344">
        <v>0</v>
      </c>
      <c r="Z408" s="1808" t="s">
        <v>72</v>
      </c>
      <c r="AA408" s="2345" t="s">
        <v>10</v>
      </c>
      <c r="AB408" s="2346" t="s">
        <v>382</v>
      </c>
      <c r="AC408" s="2347" t="s">
        <v>80</v>
      </c>
      <c r="AD408" s="2104" t="s">
        <v>89</v>
      </c>
      <c r="AE408" s="1878" t="s">
        <v>180</v>
      </c>
      <c r="AF408" s="1878"/>
    </row>
    <row r="409" spans="1:32" ht="31.8" outlineLevel="1" thickBot="1" x14ac:dyDescent="0.3">
      <c r="A409" s="610" t="s">
        <v>1466</v>
      </c>
      <c r="B409" s="910" t="s">
        <v>75</v>
      </c>
      <c r="C409" s="911" t="s">
        <v>1467</v>
      </c>
      <c r="D409" s="56" t="s">
        <v>1513</v>
      </c>
      <c r="E409" s="983" t="s">
        <v>30</v>
      </c>
      <c r="F409" s="984" t="s">
        <v>30</v>
      </c>
      <c r="G409" s="102">
        <f>112000+21936.632</f>
        <v>133936.63200000001</v>
      </c>
      <c r="H409" s="141">
        <v>0</v>
      </c>
      <c r="I409" s="996">
        <v>0</v>
      </c>
      <c r="J409" s="997">
        <v>0</v>
      </c>
      <c r="K409" s="104">
        <v>0</v>
      </c>
      <c r="L409" s="142">
        <f t="shared" si="29"/>
        <v>300</v>
      </c>
      <c r="M409" s="714">
        <v>300</v>
      </c>
      <c r="N409" s="713">
        <v>0</v>
      </c>
      <c r="O409" s="713">
        <f t="shared" si="27"/>
        <v>300</v>
      </c>
      <c r="P409" s="71">
        <v>10000</v>
      </c>
      <c r="Q409" s="105">
        <f>G409-M409-10000</f>
        <v>123636.63200000001</v>
      </c>
      <c r="R409" s="750">
        <v>0</v>
      </c>
      <c r="S409" s="106">
        <v>0</v>
      </c>
      <c r="T409" s="105">
        <v>0</v>
      </c>
      <c r="U409" s="666">
        <v>0</v>
      </c>
      <c r="V409" s="716">
        <v>0</v>
      </c>
      <c r="W409" s="716">
        <v>0</v>
      </c>
      <c r="X409" s="716">
        <v>0</v>
      </c>
      <c r="Y409" s="717">
        <v>0</v>
      </c>
      <c r="Z409" s="56" t="s">
        <v>1854</v>
      </c>
      <c r="AA409" s="140" t="s">
        <v>8</v>
      </c>
      <c r="AB409" s="912" t="s">
        <v>1050</v>
      </c>
      <c r="AC409" s="674" t="s">
        <v>79</v>
      </c>
      <c r="AD409" s="112" t="s">
        <v>90</v>
      </c>
      <c r="AE409" s="984" t="s">
        <v>175</v>
      </c>
      <c r="AF409" s="984"/>
    </row>
    <row r="410" spans="1:32" ht="31.8" outlineLevel="1" thickBot="1" x14ac:dyDescent="0.3">
      <c r="A410" s="866" t="s">
        <v>1620</v>
      </c>
      <c r="B410" s="1916" t="s">
        <v>75</v>
      </c>
      <c r="C410" s="1917" t="s">
        <v>1621</v>
      </c>
      <c r="D410" s="2" t="s">
        <v>1657</v>
      </c>
      <c r="E410" s="1830" t="s">
        <v>259</v>
      </c>
      <c r="F410" s="1638" t="s">
        <v>259</v>
      </c>
      <c r="G410" s="1918">
        <v>1000</v>
      </c>
      <c r="H410" s="1489">
        <v>0</v>
      </c>
      <c r="I410" s="1490">
        <v>0</v>
      </c>
      <c r="J410" s="1491">
        <v>0</v>
      </c>
      <c r="K410" s="1492">
        <v>0</v>
      </c>
      <c r="L410" s="1493">
        <f t="shared" si="29"/>
        <v>400</v>
      </c>
      <c r="M410" s="1348">
        <v>400</v>
      </c>
      <c r="N410" s="867">
        <v>0</v>
      </c>
      <c r="O410" s="2426">
        <f t="shared" si="27"/>
        <v>400</v>
      </c>
      <c r="P410" s="2427">
        <v>600</v>
      </c>
      <c r="Q410" s="2173">
        <v>0</v>
      </c>
      <c r="R410" s="2428">
        <v>0</v>
      </c>
      <c r="S410" s="2429">
        <v>0</v>
      </c>
      <c r="T410" s="2173">
        <v>0</v>
      </c>
      <c r="U410" s="1564">
        <v>0</v>
      </c>
      <c r="V410" s="2174">
        <v>0</v>
      </c>
      <c r="W410" s="2174">
        <v>0</v>
      </c>
      <c r="X410" s="2174">
        <v>0</v>
      </c>
      <c r="Y410" s="2188">
        <v>0</v>
      </c>
      <c r="Z410" s="2" t="s">
        <v>72</v>
      </c>
      <c r="AA410" s="2430" t="s">
        <v>8</v>
      </c>
      <c r="AB410" s="2431" t="s">
        <v>533</v>
      </c>
      <c r="AC410" s="2432" t="s">
        <v>79</v>
      </c>
      <c r="AD410" s="1997" t="s">
        <v>89</v>
      </c>
      <c r="AE410" s="1638" t="s">
        <v>178</v>
      </c>
      <c r="AF410" s="1638"/>
    </row>
    <row r="411" spans="1:32" ht="32.25" customHeight="1" outlineLevel="1" x14ac:dyDescent="0.25">
      <c r="A411" s="2600" t="s">
        <v>1855</v>
      </c>
      <c r="B411" s="2601" t="s">
        <v>75</v>
      </c>
      <c r="C411" s="2602" t="s">
        <v>1856</v>
      </c>
      <c r="D411" s="30" t="s">
        <v>75</v>
      </c>
      <c r="E411" s="2603" t="s">
        <v>35</v>
      </c>
      <c r="F411" s="2604" t="s">
        <v>35</v>
      </c>
      <c r="G411" s="2605">
        <v>1426.59</v>
      </c>
      <c r="H411" s="2606">
        <v>0</v>
      </c>
      <c r="I411" s="2607">
        <v>0</v>
      </c>
      <c r="J411" s="2608">
        <v>0</v>
      </c>
      <c r="K411" s="755">
        <v>0</v>
      </c>
      <c r="L411" s="2609">
        <f t="shared" si="29"/>
        <v>1426.59</v>
      </c>
      <c r="M411" s="2610">
        <v>0</v>
      </c>
      <c r="N411" s="2611">
        <v>1426.59</v>
      </c>
      <c r="O411" s="2611">
        <f t="shared" si="27"/>
        <v>1426.59</v>
      </c>
      <c r="P411" s="2612">
        <v>0</v>
      </c>
      <c r="Q411" s="2613">
        <v>0</v>
      </c>
      <c r="R411" s="755">
        <v>0</v>
      </c>
      <c r="S411" s="757">
        <v>0</v>
      </c>
      <c r="T411" s="2613">
        <v>0</v>
      </c>
      <c r="U411" s="2614">
        <v>0</v>
      </c>
      <c r="V411" s="2615">
        <v>0</v>
      </c>
      <c r="W411" s="2615">
        <v>0</v>
      </c>
      <c r="X411" s="2615">
        <v>0</v>
      </c>
      <c r="Y411" s="2616">
        <v>0</v>
      </c>
      <c r="Z411" s="30" t="s">
        <v>1857</v>
      </c>
      <c r="AA411" s="2617" t="s">
        <v>8</v>
      </c>
      <c r="AB411" s="2618" t="s">
        <v>533</v>
      </c>
      <c r="AC411" s="2619" t="s">
        <v>79</v>
      </c>
      <c r="AD411" s="127" t="s">
        <v>89</v>
      </c>
      <c r="AE411" s="2604" t="s">
        <v>181</v>
      </c>
      <c r="AF411" s="2604"/>
    </row>
    <row r="412" spans="1:32" outlineLevel="1" thickBot="1" x14ac:dyDescent="0.3">
      <c r="A412" s="15" t="s">
        <v>84</v>
      </c>
      <c r="B412" s="1919" t="s">
        <v>84</v>
      </c>
      <c r="C412" s="1920" t="s">
        <v>84</v>
      </c>
      <c r="D412" s="1661" t="s">
        <v>84</v>
      </c>
      <c r="E412" s="1785" t="s">
        <v>84</v>
      </c>
      <c r="F412" s="1663" t="s">
        <v>84</v>
      </c>
      <c r="G412" s="1671" t="s">
        <v>84</v>
      </c>
      <c r="H412" s="1224" t="s">
        <v>84</v>
      </c>
      <c r="I412" s="1225" t="s">
        <v>84</v>
      </c>
      <c r="J412" s="1226" t="s">
        <v>84</v>
      </c>
      <c r="K412" s="1227" t="s">
        <v>84</v>
      </c>
      <c r="L412" s="1228" t="s">
        <v>84</v>
      </c>
      <c r="M412" s="85" t="s">
        <v>84</v>
      </c>
      <c r="N412" s="168" t="s">
        <v>84</v>
      </c>
      <c r="O412" s="85" t="s">
        <v>84</v>
      </c>
      <c r="P412" s="85" t="s">
        <v>84</v>
      </c>
      <c r="Q412" s="168" t="s">
        <v>84</v>
      </c>
      <c r="R412" s="2022" t="s">
        <v>84</v>
      </c>
      <c r="S412" s="2024" t="s">
        <v>84</v>
      </c>
      <c r="T412" s="2023" t="s">
        <v>84</v>
      </c>
      <c r="U412" s="2022" t="s">
        <v>84</v>
      </c>
      <c r="V412" s="1227" t="s">
        <v>84</v>
      </c>
      <c r="W412" s="1227" t="s">
        <v>84</v>
      </c>
      <c r="X412" s="2024" t="s">
        <v>84</v>
      </c>
      <c r="Y412" s="2023" t="s">
        <v>84</v>
      </c>
      <c r="Z412" s="85" t="s">
        <v>84</v>
      </c>
      <c r="AA412" s="2433" t="s">
        <v>84</v>
      </c>
      <c r="AB412" s="2087" t="s">
        <v>84</v>
      </c>
      <c r="AC412" s="2088" t="s">
        <v>84</v>
      </c>
      <c r="AD412" s="15" t="s">
        <v>84</v>
      </c>
      <c r="AE412" s="1663" t="s">
        <v>84</v>
      </c>
      <c r="AF412" s="1663" t="s">
        <v>84</v>
      </c>
    </row>
    <row r="413" spans="1:32" s="967" customFormat="1" ht="18" thickBot="1" x14ac:dyDescent="0.3">
      <c r="A413" s="272" t="s">
        <v>95</v>
      </c>
      <c r="B413" s="273"/>
      <c r="C413" s="279"/>
      <c r="D413" s="7" t="s">
        <v>72</v>
      </c>
      <c r="E413" s="384" t="s">
        <v>72</v>
      </c>
      <c r="F413" s="359" t="s">
        <v>72</v>
      </c>
      <c r="G413" s="166">
        <f>SUM(G295:G412)</f>
        <v>1696240.21786</v>
      </c>
      <c r="H413" s="166">
        <f t="shared" ref="H413:Y413" si="30">SUM(H295:H412)</f>
        <v>184248.96006000007</v>
      </c>
      <c r="I413" s="166">
        <f t="shared" si="30"/>
        <v>79976.995360000001</v>
      </c>
      <c r="J413" s="166">
        <f t="shared" si="30"/>
        <v>35699.255260000005</v>
      </c>
      <c r="K413" s="166">
        <f t="shared" si="30"/>
        <v>79976.995360000001</v>
      </c>
      <c r="L413" s="166">
        <f t="shared" si="30"/>
        <v>110366.31336999999</v>
      </c>
      <c r="M413" s="166">
        <f t="shared" si="30"/>
        <v>210694.94845</v>
      </c>
      <c r="N413" s="166">
        <f t="shared" si="30"/>
        <v>-20351.639719999999</v>
      </c>
      <c r="O413" s="166">
        <f t="shared" ref="O413:O470" si="31">M413+N413</f>
        <v>190343.30872999999</v>
      </c>
      <c r="P413" s="166">
        <f t="shared" si="30"/>
        <v>145695.10314999998</v>
      </c>
      <c r="Q413" s="166">
        <f t="shared" si="30"/>
        <v>1175952.84592</v>
      </c>
      <c r="R413" s="166">
        <f t="shared" si="30"/>
        <v>0</v>
      </c>
      <c r="S413" s="166">
        <f t="shared" si="30"/>
        <v>0</v>
      </c>
      <c r="T413" s="166">
        <f t="shared" si="30"/>
        <v>0</v>
      </c>
      <c r="U413" s="166">
        <f t="shared" si="30"/>
        <v>0</v>
      </c>
      <c r="V413" s="166">
        <f t="shared" si="30"/>
        <v>0</v>
      </c>
      <c r="W413" s="166">
        <f t="shared" si="30"/>
        <v>0</v>
      </c>
      <c r="X413" s="166">
        <f t="shared" si="30"/>
        <v>0</v>
      </c>
      <c r="Y413" s="166">
        <f t="shared" si="30"/>
        <v>0</v>
      </c>
      <c r="Z413" s="7" t="s">
        <v>1652</v>
      </c>
      <c r="AA413" s="10" t="s">
        <v>72</v>
      </c>
      <c r="AB413" s="283" t="s">
        <v>72</v>
      </c>
      <c r="AC413" s="283" t="s">
        <v>72</v>
      </c>
      <c r="AD413" s="10" t="s">
        <v>72</v>
      </c>
      <c r="AE413" s="359" t="s">
        <v>72</v>
      </c>
      <c r="AF413" s="359" t="s">
        <v>72</v>
      </c>
    </row>
    <row r="414" spans="1:32" ht="31.8" outlineLevel="1" thickBot="1" x14ac:dyDescent="0.3">
      <c r="A414" s="226" t="s">
        <v>219</v>
      </c>
      <c r="B414" s="1659" t="s">
        <v>336</v>
      </c>
      <c r="C414" s="1828" t="s">
        <v>43</v>
      </c>
      <c r="D414" s="1661" t="s">
        <v>1035</v>
      </c>
      <c r="E414" s="1785" t="s">
        <v>42</v>
      </c>
      <c r="F414" s="1663" t="s">
        <v>42</v>
      </c>
      <c r="G414" s="1719">
        <v>86727</v>
      </c>
      <c r="H414" s="1494">
        <v>0</v>
      </c>
      <c r="I414" s="1495">
        <v>0</v>
      </c>
      <c r="J414" s="1496">
        <v>0</v>
      </c>
      <c r="K414" s="1386">
        <v>0</v>
      </c>
      <c r="L414" s="1387">
        <f t="shared" ref="L414:L426" si="32">O414-K414</f>
        <v>71647.25</v>
      </c>
      <c r="M414" s="1218">
        <v>71647.25</v>
      </c>
      <c r="N414" s="274">
        <v>0</v>
      </c>
      <c r="O414" s="1619">
        <f t="shared" si="31"/>
        <v>71647.25</v>
      </c>
      <c r="P414" s="2434">
        <v>0</v>
      </c>
      <c r="Q414" s="2435">
        <v>0</v>
      </c>
      <c r="R414" s="2232">
        <v>0</v>
      </c>
      <c r="S414" s="1497">
        <v>0</v>
      </c>
      <c r="T414" s="1526">
        <v>15079.75</v>
      </c>
      <c r="U414" s="1273">
        <v>0</v>
      </c>
      <c r="V414" s="1216">
        <v>0</v>
      </c>
      <c r="W414" s="1216">
        <v>0</v>
      </c>
      <c r="X414" s="1216">
        <v>0</v>
      </c>
      <c r="Y414" s="1620">
        <v>0</v>
      </c>
      <c r="Z414" s="1661" t="s">
        <v>1748</v>
      </c>
      <c r="AA414" s="1661" t="s">
        <v>151</v>
      </c>
      <c r="AB414" s="2436" t="s">
        <v>382</v>
      </c>
      <c r="AC414" s="15" t="s">
        <v>80</v>
      </c>
      <c r="AD414" s="15" t="s">
        <v>89</v>
      </c>
      <c r="AE414" s="1661" t="s">
        <v>175</v>
      </c>
      <c r="AF414" s="1661" t="s">
        <v>654</v>
      </c>
    </row>
    <row r="415" spans="1:32" ht="27" outlineLevel="1" thickBot="1" x14ac:dyDescent="0.3">
      <c r="A415" s="19" t="s">
        <v>139</v>
      </c>
      <c r="B415" s="2726" t="s">
        <v>337</v>
      </c>
      <c r="C415" s="1893" t="s">
        <v>140</v>
      </c>
      <c r="D415" s="1755" t="s">
        <v>152</v>
      </c>
      <c r="E415" s="1844" t="s">
        <v>42</v>
      </c>
      <c r="F415" s="1845" t="s">
        <v>42</v>
      </c>
      <c r="G415" s="1757">
        <v>350335</v>
      </c>
      <c r="H415" s="1229">
        <v>304812.15198999998</v>
      </c>
      <c r="I415" s="1230">
        <v>27503.99811</v>
      </c>
      <c r="J415" s="1231">
        <v>18018.849900000001</v>
      </c>
      <c r="K415" s="2741">
        <v>27503.99811</v>
      </c>
      <c r="L415" s="2742">
        <f t="shared" si="32"/>
        <v>18018.84990000003</v>
      </c>
      <c r="M415" s="1308">
        <v>45522.848010000031</v>
      </c>
      <c r="N415" s="2743">
        <v>0</v>
      </c>
      <c r="O415" s="2026">
        <f t="shared" si="31"/>
        <v>45522.848010000031</v>
      </c>
      <c r="P415" s="2744">
        <v>0</v>
      </c>
      <c r="Q415" s="2745">
        <v>0</v>
      </c>
      <c r="R415" s="2746">
        <v>0</v>
      </c>
      <c r="S415" s="2741">
        <v>0</v>
      </c>
      <c r="T415" s="2744">
        <v>0</v>
      </c>
      <c r="U415" s="1306">
        <v>350335</v>
      </c>
      <c r="V415" s="1379">
        <v>304812.15198999998</v>
      </c>
      <c r="W415" s="1379">
        <f>27503.99811+4677.46836+5766.2622+7575.11934</f>
        <v>45522.848009999994</v>
      </c>
      <c r="X415" s="2133">
        <v>45522.848010000016</v>
      </c>
      <c r="Y415" s="2747">
        <v>0</v>
      </c>
      <c r="Z415" s="1839" t="s">
        <v>72</v>
      </c>
      <c r="AA415" s="1782" t="s">
        <v>83</v>
      </c>
      <c r="AB415" s="2748" t="s">
        <v>1073</v>
      </c>
      <c r="AC415" s="2136" t="s">
        <v>80</v>
      </c>
      <c r="AD415" s="2136" t="s">
        <v>89</v>
      </c>
      <c r="AE415" s="1755" t="s">
        <v>175</v>
      </c>
      <c r="AF415" s="1755" t="s">
        <v>654</v>
      </c>
    </row>
    <row r="416" spans="1:32" ht="53.4" outlineLevel="1" thickBot="1" x14ac:dyDescent="0.3">
      <c r="A416" s="227" t="s">
        <v>456</v>
      </c>
      <c r="B416" s="1922" t="s">
        <v>345</v>
      </c>
      <c r="C416" s="1829" t="s">
        <v>247</v>
      </c>
      <c r="D416" s="2" t="s">
        <v>1036</v>
      </c>
      <c r="E416" s="1830" t="s">
        <v>4</v>
      </c>
      <c r="F416" s="1638" t="s">
        <v>1162</v>
      </c>
      <c r="G416" s="1639">
        <v>8035.6</v>
      </c>
      <c r="H416" s="1175">
        <v>0</v>
      </c>
      <c r="I416" s="1176">
        <v>0</v>
      </c>
      <c r="J416" s="1177">
        <v>0</v>
      </c>
      <c r="K416" s="1178">
        <v>0</v>
      </c>
      <c r="L416" s="1498">
        <f t="shared" si="32"/>
        <v>8035.6</v>
      </c>
      <c r="M416" s="1180">
        <v>8035.6</v>
      </c>
      <c r="N416" s="295">
        <v>0</v>
      </c>
      <c r="O416" s="1992">
        <f t="shared" si="31"/>
        <v>8035.6</v>
      </c>
      <c r="P416" s="2437">
        <v>0</v>
      </c>
      <c r="Q416" s="2438">
        <v>0</v>
      </c>
      <c r="R416" s="1337">
        <v>0</v>
      </c>
      <c r="S416" s="1994">
        <v>0</v>
      </c>
      <c r="T416" s="2439">
        <v>0</v>
      </c>
      <c r="U416" s="1346">
        <v>0</v>
      </c>
      <c r="V416" s="1205">
        <v>0</v>
      </c>
      <c r="W416" s="1205">
        <v>0</v>
      </c>
      <c r="X416" s="1205">
        <v>0</v>
      </c>
      <c r="Y416" s="1995">
        <v>0</v>
      </c>
      <c r="Z416" s="1996" t="s">
        <v>72</v>
      </c>
      <c r="AA416" s="2" t="s">
        <v>10</v>
      </c>
      <c r="AB416" s="1997" t="s">
        <v>382</v>
      </c>
      <c r="AC416" s="2440" t="s">
        <v>80</v>
      </c>
      <c r="AD416" s="1997" t="s">
        <v>90</v>
      </c>
      <c r="AE416" s="1638" t="s">
        <v>187</v>
      </c>
      <c r="AF416" s="1638" t="s">
        <v>655</v>
      </c>
    </row>
    <row r="417" spans="1:32" ht="26.4" outlineLevel="1" x14ac:dyDescent="0.25">
      <c r="A417" s="18" t="s">
        <v>457</v>
      </c>
      <c r="B417" s="1778" t="s">
        <v>538</v>
      </c>
      <c r="C417" s="2730" t="s">
        <v>458</v>
      </c>
      <c r="D417" s="1874" t="s">
        <v>1029</v>
      </c>
      <c r="E417" s="1743" t="s">
        <v>141</v>
      </c>
      <c r="F417" s="2162" t="s">
        <v>141</v>
      </c>
      <c r="G417" s="1780">
        <v>12624</v>
      </c>
      <c r="H417" s="1780">
        <v>5856</v>
      </c>
      <c r="I417" s="2731">
        <v>0</v>
      </c>
      <c r="J417" s="2732">
        <v>0</v>
      </c>
      <c r="K417" s="2733">
        <v>0</v>
      </c>
      <c r="L417" s="2734">
        <f t="shared" si="32"/>
        <v>0</v>
      </c>
      <c r="M417" s="1276">
        <v>0</v>
      </c>
      <c r="N417" s="2735">
        <v>0</v>
      </c>
      <c r="O417" s="2095">
        <f t="shared" si="31"/>
        <v>0</v>
      </c>
      <c r="P417" s="2736">
        <v>0</v>
      </c>
      <c r="Q417" s="2736">
        <v>0</v>
      </c>
      <c r="R417" s="2737">
        <v>0</v>
      </c>
      <c r="S417" s="2738">
        <v>0</v>
      </c>
      <c r="T417" s="2739">
        <v>6768</v>
      </c>
      <c r="U417" s="1330">
        <v>0</v>
      </c>
      <c r="V417" s="1548">
        <v>0</v>
      </c>
      <c r="W417" s="1548">
        <v>0</v>
      </c>
      <c r="X417" s="1548">
        <v>0</v>
      </c>
      <c r="Y417" s="2158">
        <v>0</v>
      </c>
      <c r="Z417" s="2210" t="s">
        <v>72</v>
      </c>
      <c r="AA417" s="1742" t="s">
        <v>83</v>
      </c>
      <c r="AB417" s="2740" t="s">
        <v>382</v>
      </c>
      <c r="AC417" s="2125" t="s">
        <v>80</v>
      </c>
      <c r="AD417" s="2125" t="s">
        <v>89</v>
      </c>
      <c r="AE417" s="2162" t="s">
        <v>181</v>
      </c>
      <c r="AF417" s="2162" t="s">
        <v>646</v>
      </c>
    </row>
    <row r="418" spans="1:32" ht="26.4" outlineLevel="1" x14ac:dyDescent="0.25">
      <c r="A418" s="222" t="s">
        <v>459</v>
      </c>
      <c r="B418" s="1627" t="s">
        <v>1437</v>
      </c>
      <c r="C418" s="1857" t="s">
        <v>460</v>
      </c>
      <c r="D418" s="1629" t="s">
        <v>1029</v>
      </c>
      <c r="E418" s="1924" t="s">
        <v>41</v>
      </c>
      <c r="F418" s="1631" t="s">
        <v>41</v>
      </c>
      <c r="G418" s="1683">
        <v>196000</v>
      </c>
      <c r="H418" s="1500">
        <v>0</v>
      </c>
      <c r="I418" s="1501">
        <v>0</v>
      </c>
      <c r="J418" s="1502">
        <v>3429.07195</v>
      </c>
      <c r="K418" s="1167">
        <v>0</v>
      </c>
      <c r="L418" s="1168">
        <f t="shared" si="32"/>
        <v>100000</v>
      </c>
      <c r="M418" s="1191">
        <v>100000</v>
      </c>
      <c r="N418" s="285">
        <v>0</v>
      </c>
      <c r="O418" s="1615">
        <f t="shared" si="31"/>
        <v>100000</v>
      </c>
      <c r="P418" s="2441">
        <v>0</v>
      </c>
      <c r="Q418" s="1982">
        <v>0</v>
      </c>
      <c r="R418" s="1983">
        <v>0</v>
      </c>
      <c r="S418" s="1984">
        <v>0</v>
      </c>
      <c r="T418" s="2442">
        <v>96000</v>
      </c>
      <c r="U418" s="1239">
        <v>0</v>
      </c>
      <c r="V418" s="1189">
        <v>0</v>
      </c>
      <c r="W418" s="1189">
        <v>0</v>
      </c>
      <c r="X418" s="1189">
        <v>0</v>
      </c>
      <c r="Y418" s="1616">
        <v>0</v>
      </c>
      <c r="Z418" s="1985" t="s">
        <v>72</v>
      </c>
      <c r="AA418" s="1629" t="s">
        <v>10</v>
      </c>
      <c r="AB418" s="2443" t="s">
        <v>1237</v>
      </c>
      <c r="AC418" s="1986" t="s">
        <v>80</v>
      </c>
      <c r="AD418" s="1986" t="s">
        <v>89</v>
      </c>
      <c r="AE418" s="1631" t="s">
        <v>180</v>
      </c>
      <c r="AF418" s="1631" t="s">
        <v>654</v>
      </c>
    </row>
    <row r="419" spans="1:32" ht="27" outlineLevel="1" thickBot="1" x14ac:dyDescent="0.3">
      <c r="A419" s="226" t="s">
        <v>461</v>
      </c>
      <c r="B419" s="1659" t="s">
        <v>577</v>
      </c>
      <c r="C419" s="1883" t="s">
        <v>539</v>
      </c>
      <c r="D419" s="1661" t="s">
        <v>1029</v>
      </c>
      <c r="E419" s="1738" t="s">
        <v>41</v>
      </c>
      <c r="F419" s="1663" t="s">
        <v>41</v>
      </c>
      <c r="G419" s="1719">
        <v>60000</v>
      </c>
      <c r="H419" s="1494">
        <v>50962.087</v>
      </c>
      <c r="I419" s="1495">
        <v>0</v>
      </c>
      <c r="J419" s="1496">
        <v>6039.1971599999997</v>
      </c>
      <c r="K419" s="1386">
        <v>0</v>
      </c>
      <c r="L419" s="1387">
        <f t="shared" si="32"/>
        <v>9037.9130000000005</v>
      </c>
      <c r="M419" s="1218">
        <v>9037.9130000000005</v>
      </c>
      <c r="N419" s="247">
        <v>0</v>
      </c>
      <c r="O419" s="1619">
        <f t="shared" si="31"/>
        <v>9037.9130000000005</v>
      </c>
      <c r="P419" s="2435">
        <v>0</v>
      </c>
      <c r="Q419" s="1526">
        <v>0</v>
      </c>
      <c r="R419" s="2232">
        <v>0</v>
      </c>
      <c r="S419" s="1497">
        <v>0</v>
      </c>
      <c r="T419" s="2444">
        <v>0</v>
      </c>
      <c r="U419" s="1273">
        <v>0</v>
      </c>
      <c r="V419" s="1216">
        <v>0</v>
      </c>
      <c r="W419" s="1216">
        <v>0</v>
      </c>
      <c r="X419" s="1216">
        <v>0</v>
      </c>
      <c r="Y419" s="1620">
        <v>0</v>
      </c>
      <c r="Z419" s="85" t="s">
        <v>72</v>
      </c>
      <c r="AA419" s="1661" t="s">
        <v>10</v>
      </c>
      <c r="AB419" s="2436" t="s">
        <v>533</v>
      </c>
      <c r="AC419" s="15" t="s">
        <v>80</v>
      </c>
      <c r="AD419" s="15" t="s">
        <v>89</v>
      </c>
      <c r="AE419" s="1663" t="s">
        <v>180</v>
      </c>
      <c r="AF419" s="1663" t="s">
        <v>646</v>
      </c>
    </row>
    <row r="420" spans="1:32" ht="31.8" outlineLevel="1" thickBot="1" x14ac:dyDescent="0.3">
      <c r="A420" s="159" t="s">
        <v>718</v>
      </c>
      <c r="B420" s="1942" t="s">
        <v>842</v>
      </c>
      <c r="C420" s="1943" t="s">
        <v>1438</v>
      </c>
      <c r="D420" s="1655" t="s">
        <v>1015</v>
      </c>
      <c r="E420" s="1944" t="s">
        <v>42</v>
      </c>
      <c r="F420" s="1657" t="s">
        <v>42</v>
      </c>
      <c r="G420" s="1945">
        <v>50200</v>
      </c>
      <c r="H420" s="1527">
        <v>20000</v>
      </c>
      <c r="I420" s="1528">
        <v>0</v>
      </c>
      <c r="J420" s="1529">
        <v>0</v>
      </c>
      <c r="K420" s="1530">
        <v>0</v>
      </c>
      <c r="L420" s="2728">
        <f t="shared" si="32"/>
        <v>0</v>
      </c>
      <c r="M420" s="1212">
        <v>0</v>
      </c>
      <c r="N420" s="2729">
        <v>0</v>
      </c>
      <c r="O420" s="1622">
        <f t="shared" si="31"/>
        <v>0</v>
      </c>
      <c r="P420" s="2485">
        <v>0</v>
      </c>
      <c r="Q420" s="1531">
        <v>0</v>
      </c>
      <c r="R420" s="2487">
        <v>0</v>
      </c>
      <c r="S420" s="2488">
        <v>0</v>
      </c>
      <c r="T420" s="2489">
        <v>30200</v>
      </c>
      <c r="U420" s="1623">
        <v>0</v>
      </c>
      <c r="V420" s="1210">
        <v>0</v>
      </c>
      <c r="W420" s="1210">
        <v>0</v>
      </c>
      <c r="X420" s="1210">
        <v>0</v>
      </c>
      <c r="Y420" s="1624">
        <v>0</v>
      </c>
      <c r="Z420" s="2014" t="s">
        <v>72</v>
      </c>
      <c r="AA420" s="1655" t="s">
        <v>83</v>
      </c>
      <c r="AB420" s="2016" t="s">
        <v>1390</v>
      </c>
      <c r="AC420" s="2016" t="s">
        <v>80</v>
      </c>
      <c r="AD420" s="2016" t="s">
        <v>89</v>
      </c>
      <c r="AE420" s="1657" t="s">
        <v>175</v>
      </c>
      <c r="AF420" s="1657" t="s">
        <v>654</v>
      </c>
    </row>
    <row r="421" spans="1:32" ht="31.2" outlineLevel="1" x14ac:dyDescent="0.25">
      <c r="A421" s="225" t="s">
        <v>843</v>
      </c>
      <c r="B421" s="1764" t="s">
        <v>926</v>
      </c>
      <c r="C421" s="1827" t="s">
        <v>1439</v>
      </c>
      <c r="D421" s="1642" t="s">
        <v>1007</v>
      </c>
      <c r="E421" s="1678" t="s">
        <v>44</v>
      </c>
      <c r="F421" s="1644" t="s">
        <v>44</v>
      </c>
      <c r="G421" s="1499">
        <v>428000</v>
      </c>
      <c r="H421" s="1164">
        <v>40000</v>
      </c>
      <c r="I421" s="1165">
        <v>0</v>
      </c>
      <c r="J421" s="1166">
        <v>11982.405129999999</v>
      </c>
      <c r="K421" s="1235">
        <v>0</v>
      </c>
      <c r="L421" s="1236">
        <f t="shared" si="32"/>
        <v>53000</v>
      </c>
      <c r="M421" s="1169">
        <v>53000</v>
      </c>
      <c r="N421" s="233">
        <v>0</v>
      </c>
      <c r="O421" s="1617">
        <f t="shared" si="31"/>
        <v>53000</v>
      </c>
      <c r="P421" s="2036">
        <v>240000</v>
      </c>
      <c r="Q421" s="2037">
        <v>95000</v>
      </c>
      <c r="R421" s="2038">
        <v>0</v>
      </c>
      <c r="S421" s="2039">
        <v>0</v>
      </c>
      <c r="T421" s="2039">
        <v>0</v>
      </c>
      <c r="U421" s="1237">
        <v>0</v>
      </c>
      <c r="V421" s="1184">
        <v>0</v>
      </c>
      <c r="W421" s="1184">
        <v>0</v>
      </c>
      <c r="X421" s="1184">
        <v>0</v>
      </c>
      <c r="Y421" s="1618">
        <v>0</v>
      </c>
      <c r="Z421" s="2017" t="s">
        <v>72</v>
      </c>
      <c r="AA421" s="1642" t="s">
        <v>10</v>
      </c>
      <c r="AB421" s="2002" t="s">
        <v>1622</v>
      </c>
      <c r="AC421" s="2002" t="s">
        <v>80</v>
      </c>
      <c r="AD421" s="2002" t="s">
        <v>89</v>
      </c>
      <c r="AE421" s="1644" t="s">
        <v>171</v>
      </c>
      <c r="AF421" s="1644"/>
    </row>
    <row r="422" spans="1:32" ht="27" outlineLevel="1" thickBot="1" x14ac:dyDescent="0.3">
      <c r="A422" s="19" t="s">
        <v>844</v>
      </c>
      <c r="B422" s="2726" t="s">
        <v>927</v>
      </c>
      <c r="C422" s="1893" t="s">
        <v>845</v>
      </c>
      <c r="D422" s="1755" t="s">
        <v>1007</v>
      </c>
      <c r="E422" s="1675" t="s">
        <v>266</v>
      </c>
      <c r="F422" s="1676" t="s">
        <v>266</v>
      </c>
      <c r="G422" s="1677">
        <v>67000</v>
      </c>
      <c r="H422" s="1229">
        <v>0</v>
      </c>
      <c r="I422" s="1230">
        <v>33877.188540000003</v>
      </c>
      <c r="J422" s="1231">
        <v>21122.811460000001</v>
      </c>
      <c r="K422" s="1232">
        <v>33877.188540000003</v>
      </c>
      <c r="L422" s="1233">
        <f t="shared" si="32"/>
        <v>21122.811459999997</v>
      </c>
      <c r="M422" s="1234">
        <v>55000</v>
      </c>
      <c r="N422" s="357">
        <v>0</v>
      </c>
      <c r="O422" s="2026">
        <f t="shared" si="31"/>
        <v>55000</v>
      </c>
      <c r="P422" s="2027">
        <v>0</v>
      </c>
      <c r="Q422" s="2028">
        <v>0</v>
      </c>
      <c r="R422" s="2029">
        <v>0</v>
      </c>
      <c r="S422" s="2030">
        <v>12000</v>
      </c>
      <c r="T422" s="2727">
        <v>0</v>
      </c>
      <c r="U422" s="1349">
        <v>55000</v>
      </c>
      <c r="V422" s="1351">
        <v>0</v>
      </c>
      <c r="W422" s="1351">
        <v>55000</v>
      </c>
      <c r="X422" s="1351">
        <v>55000</v>
      </c>
      <c r="Y422" s="2032">
        <v>0</v>
      </c>
      <c r="Z422" s="2172" t="s">
        <v>846</v>
      </c>
      <c r="AA422" s="1755" t="s">
        <v>83</v>
      </c>
      <c r="AB422" s="2136" t="s">
        <v>382</v>
      </c>
      <c r="AC422" s="2252" t="s">
        <v>80</v>
      </c>
      <c r="AD422" s="2252" t="s">
        <v>89</v>
      </c>
      <c r="AE422" s="1676" t="s">
        <v>166</v>
      </c>
      <c r="AF422" s="1676"/>
    </row>
    <row r="423" spans="1:32" ht="27" outlineLevel="1" thickBot="1" x14ac:dyDescent="0.3">
      <c r="A423" s="2702" t="s">
        <v>903</v>
      </c>
      <c r="B423" s="2703" t="s">
        <v>928</v>
      </c>
      <c r="C423" s="2704" t="s">
        <v>904</v>
      </c>
      <c r="D423" s="2675" t="s">
        <v>1016</v>
      </c>
      <c r="E423" s="2705" t="s">
        <v>902</v>
      </c>
      <c r="F423" s="2706" t="s">
        <v>902</v>
      </c>
      <c r="G423" s="2707">
        <f>1300-205.271</f>
        <v>1094.729</v>
      </c>
      <c r="H423" s="2708">
        <v>0</v>
      </c>
      <c r="I423" s="2709">
        <v>985.25599999999997</v>
      </c>
      <c r="J423" s="2710">
        <v>109.473</v>
      </c>
      <c r="K423" s="2711">
        <v>985.25599999999997</v>
      </c>
      <c r="L423" s="2712">
        <f t="shared" si="32"/>
        <v>109.47300000000007</v>
      </c>
      <c r="M423" s="2713">
        <v>1300</v>
      </c>
      <c r="N423" s="2714">
        <f>0-205.271</f>
        <v>-205.27099999999999</v>
      </c>
      <c r="O423" s="2715">
        <f t="shared" si="31"/>
        <v>1094.729</v>
      </c>
      <c r="P423" s="2716">
        <v>0</v>
      </c>
      <c r="Q423" s="2717">
        <v>0</v>
      </c>
      <c r="R423" s="2718">
        <v>0</v>
      </c>
      <c r="S423" s="2719">
        <v>0</v>
      </c>
      <c r="T423" s="2720">
        <v>0</v>
      </c>
      <c r="U423" s="2721">
        <v>0</v>
      </c>
      <c r="V423" s="2722">
        <v>0</v>
      </c>
      <c r="W423" s="2722">
        <v>0</v>
      </c>
      <c r="X423" s="2722">
        <v>0</v>
      </c>
      <c r="Y423" s="2723">
        <v>0</v>
      </c>
      <c r="Z423" s="2724" t="s">
        <v>1975</v>
      </c>
      <c r="AA423" s="2675" t="s">
        <v>83</v>
      </c>
      <c r="AB423" s="2725" t="s">
        <v>1073</v>
      </c>
      <c r="AC423" s="2725" t="s">
        <v>80</v>
      </c>
      <c r="AD423" s="2725" t="s">
        <v>89</v>
      </c>
      <c r="AE423" s="2706" t="s">
        <v>175</v>
      </c>
      <c r="AF423" s="2706"/>
    </row>
    <row r="424" spans="1:32" ht="27" outlineLevel="1" thickBot="1" x14ac:dyDescent="0.3">
      <c r="A424" s="552" t="s">
        <v>1309</v>
      </c>
      <c r="B424" s="763" t="s">
        <v>1440</v>
      </c>
      <c r="C424" s="766" t="s">
        <v>1310</v>
      </c>
      <c r="D424" s="143" t="s">
        <v>1417</v>
      </c>
      <c r="E424" s="968" t="s">
        <v>141</v>
      </c>
      <c r="F424" s="969" t="s">
        <v>141</v>
      </c>
      <c r="G424" s="125">
        <v>90750</v>
      </c>
      <c r="H424" s="103">
        <v>0</v>
      </c>
      <c r="I424" s="970">
        <v>0</v>
      </c>
      <c r="J424" s="998">
        <v>0</v>
      </c>
      <c r="K424" s="107">
        <v>0</v>
      </c>
      <c r="L424" s="605">
        <f t="shared" si="32"/>
        <v>0</v>
      </c>
      <c r="M424" s="606">
        <v>90000</v>
      </c>
      <c r="N424" s="659">
        <v>-90000</v>
      </c>
      <c r="O424" s="559">
        <f t="shared" si="31"/>
        <v>0</v>
      </c>
      <c r="P424" s="66">
        <v>90000</v>
      </c>
      <c r="Q424" s="68">
        <v>0</v>
      </c>
      <c r="R424" s="557">
        <v>0</v>
      </c>
      <c r="S424" s="201">
        <v>0</v>
      </c>
      <c r="T424" s="999">
        <v>750</v>
      </c>
      <c r="U424" s="607">
        <v>0</v>
      </c>
      <c r="V424" s="475">
        <v>0</v>
      </c>
      <c r="W424" s="475">
        <v>0</v>
      </c>
      <c r="X424" s="475">
        <v>0</v>
      </c>
      <c r="Y424" s="474">
        <v>0</v>
      </c>
      <c r="Z424" s="170" t="s">
        <v>1749</v>
      </c>
      <c r="AA424" s="143" t="s">
        <v>6</v>
      </c>
      <c r="AB424" s="760" t="s">
        <v>382</v>
      </c>
      <c r="AC424" s="764" t="s">
        <v>79</v>
      </c>
      <c r="AD424" s="187" t="s">
        <v>89</v>
      </c>
      <c r="AE424" s="969" t="s">
        <v>181</v>
      </c>
      <c r="AF424" s="969" t="s">
        <v>84</v>
      </c>
    </row>
    <row r="425" spans="1:32" ht="26.4" outlineLevel="1" x14ac:dyDescent="0.25">
      <c r="A425" s="225" t="s">
        <v>1623</v>
      </c>
      <c r="B425" s="1925" t="s">
        <v>1750</v>
      </c>
      <c r="C425" s="1926" t="s">
        <v>1624</v>
      </c>
      <c r="D425" s="1923" t="s">
        <v>1657</v>
      </c>
      <c r="E425" s="1915" t="s">
        <v>41</v>
      </c>
      <c r="F425" s="1913" t="s">
        <v>41</v>
      </c>
      <c r="G425" s="1927">
        <v>54745.849840000003</v>
      </c>
      <c r="H425" s="1503">
        <v>0</v>
      </c>
      <c r="I425" s="1504">
        <v>0</v>
      </c>
      <c r="J425" s="1505">
        <v>0</v>
      </c>
      <c r="K425" s="1506">
        <v>0</v>
      </c>
      <c r="L425" s="1507">
        <f t="shared" si="32"/>
        <v>38322.094879999997</v>
      </c>
      <c r="M425" s="1508">
        <v>38322.094879999997</v>
      </c>
      <c r="N425" s="442">
        <v>0</v>
      </c>
      <c r="O425" s="2445">
        <f t="shared" si="31"/>
        <v>38322.094879999997</v>
      </c>
      <c r="P425" s="2446">
        <v>16423.754959999998</v>
      </c>
      <c r="Q425" s="163">
        <v>0</v>
      </c>
      <c r="R425" s="2447">
        <v>0</v>
      </c>
      <c r="S425" s="2448">
        <v>0</v>
      </c>
      <c r="T425" s="2449">
        <v>0</v>
      </c>
      <c r="U425" s="2450">
        <v>0</v>
      </c>
      <c r="V425" s="2451">
        <v>0</v>
      </c>
      <c r="W425" s="2451">
        <v>0</v>
      </c>
      <c r="X425" s="2451">
        <v>0</v>
      </c>
      <c r="Y425" s="2452">
        <v>0</v>
      </c>
      <c r="Z425" s="2200" t="s">
        <v>72</v>
      </c>
      <c r="AA425" s="1923" t="s">
        <v>10</v>
      </c>
      <c r="AB425" s="2453" t="s">
        <v>735</v>
      </c>
      <c r="AC425" s="2103" t="s">
        <v>80</v>
      </c>
      <c r="AD425" s="2421" t="s">
        <v>89</v>
      </c>
      <c r="AE425" s="1913" t="s">
        <v>180</v>
      </c>
      <c r="AF425" s="1913"/>
    </row>
    <row r="426" spans="1:32" ht="26.4" outlineLevel="1" x14ac:dyDescent="0.25">
      <c r="A426" s="222" t="s">
        <v>1625</v>
      </c>
      <c r="B426" s="1627" t="s">
        <v>1751</v>
      </c>
      <c r="C426" s="1857" t="s">
        <v>1626</v>
      </c>
      <c r="D426" s="1629" t="s">
        <v>1657</v>
      </c>
      <c r="E426" s="1630" t="s">
        <v>141</v>
      </c>
      <c r="F426" s="1631" t="s">
        <v>141</v>
      </c>
      <c r="G426" s="1683">
        <v>32704.543000000001</v>
      </c>
      <c r="H426" s="1500">
        <v>0</v>
      </c>
      <c r="I426" s="1501">
        <v>0</v>
      </c>
      <c r="J426" s="1509">
        <v>0</v>
      </c>
      <c r="K426" s="1167">
        <v>0</v>
      </c>
      <c r="L426" s="1168">
        <f t="shared" si="32"/>
        <v>29000</v>
      </c>
      <c r="M426" s="1191">
        <v>29000</v>
      </c>
      <c r="N426" s="285">
        <v>0</v>
      </c>
      <c r="O426" s="1615">
        <f t="shared" si="31"/>
        <v>29000</v>
      </c>
      <c r="P426" s="2441">
        <v>0</v>
      </c>
      <c r="Q426" s="1982">
        <v>0</v>
      </c>
      <c r="R426" s="1983">
        <v>0</v>
      </c>
      <c r="S426" s="1984">
        <v>0</v>
      </c>
      <c r="T426" s="2442">
        <v>3704.5430000000001</v>
      </c>
      <c r="U426" s="1239">
        <v>0</v>
      </c>
      <c r="V426" s="1189">
        <v>0</v>
      </c>
      <c r="W426" s="1189">
        <v>0</v>
      </c>
      <c r="X426" s="1189">
        <v>0</v>
      </c>
      <c r="Y426" s="1616">
        <v>0</v>
      </c>
      <c r="Z426" s="1985" t="s">
        <v>72</v>
      </c>
      <c r="AA426" s="1629" t="s">
        <v>10</v>
      </c>
      <c r="AB426" s="2044" t="s">
        <v>382</v>
      </c>
      <c r="AC426" s="1987" t="s">
        <v>80</v>
      </c>
      <c r="AD426" s="1986" t="s">
        <v>89</v>
      </c>
      <c r="AE426" s="1631" t="s">
        <v>181</v>
      </c>
      <c r="AF426" s="1631"/>
    </row>
    <row r="427" spans="1:32" outlineLevel="1" thickBot="1" x14ac:dyDescent="0.3">
      <c r="A427" s="20" t="s">
        <v>84</v>
      </c>
      <c r="B427" s="1928" t="s">
        <v>84</v>
      </c>
      <c r="C427" s="1929" t="s">
        <v>84</v>
      </c>
      <c r="D427" s="78" t="s">
        <v>84</v>
      </c>
      <c r="E427" s="164" t="s">
        <v>84</v>
      </c>
      <c r="F427" s="203" t="s">
        <v>84</v>
      </c>
      <c r="G427" s="972" t="s">
        <v>84</v>
      </c>
      <c r="H427" s="973" t="s">
        <v>84</v>
      </c>
      <c r="I427" s="974" t="s">
        <v>84</v>
      </c>
      <c r="J427" s="1510" t="s">
        <v>84</v>
      </c>
      <c r="K427" s="86" t="s">
        <v>84</v>
      </c>
      <c r="L427" s="410" t="s">
        <v>84</v>
      </c>
      <c r="M427" s="38" t="s">
        <v>84</v>
      </c>
      <c r="N427" s="79" t="s">
        <v>84</v>
      </c>
      <c r="O427" s="152" t="s">
        <v>84</v>
      </c>
      <c r="P427" s="38" t="s">
        <v>84</v>
      </c>
      <c r="Q427" s="83" t="s">
        <v>84</v>
      </c>
      <c r="R427" s="120" t="s">
        <v>84</v>
      </c>
      <c r="S427" s="84" t="s">
        <v>84</v>
      </c>
      <c r="T427" s="83" t="s">
        <v>84</v>
      </c>
      <c r="U427" s="120" t="s">
        <v>84</v>
      </c>
      <c r="V427" s="86" t="s">
        <v>84</v>
      </c>
      <c r="W427" s="86" t="s">
        <v>84</v>
      </c>
      <c r="X427" s="84" t="s">
        <v>84</v>
      </c>
      <c r="Y427" s="79" t="s">
        <v>84</v>
      </c>
      <c r="Z427" s="38" t="s">
        <v>84</v>
      </c>
      <c r="AA427" s="2454" t="s">
        <v>84</v>
      </c>
      <c r="AB427" s="72" t="s">
        <v>84</v>
      </c>
      <c r="AC427" s="21" t="s">
        <v>84</v>
      </c>
      <c r="AD427" s="20" t="s">
        <v>84</v>
      </c>
      <c r="AE427" s="203" t="s">
        <v>84</v>
      </c>
      <c r="AF427" s="203" t="s">
        <v>84</v>
      </c>
    </row>
    <row r="428" spans="1:32" s="967" customFormat="1" ht="27" thickBot="1" x14ac:dyDescent="0.3">
      <c r="A428" s="272" t="s">
        <v>94</v>
      </c>
      <c r="B428" s="273"/>
      <c r="C428" s="382"/>
      <c r="D428" s="7" t="s">
        <v>72</v>
      </c>
      <c r="E428" s="384" t="s">
        <v>72</v>
      </c>
      <c r="F428" s="359" t="s">
        <v>72</v>
      </c>
      <c r="G428" s="166">
        <f>SUM(G414:G427)</f>
        <v>1438216.7218400002</v>
      </c>
      <c r="H428" s="166">
        <f t="shared" ref="H428:Y428" si="33">SUM(H414:H427)</f>
        <v>421630.23898999998</v>
      </c>
      <c r="I428" s="166">
        <f t="shared" si="33"/>
        <v>62366.442650000005</v>
      </c>
      <c r="J428" s="166">
        <f t="shared" si="33"/>
        <v>60701.808600000004</v>
      </c>
      <c r="K428" s="166">
        <f t="shared" si="33"/>
        <v>62366.442650000005</v>
      </c>
      <c r="L428" s="166">
        <f t="shared" si="33"/>
        <v>348293.99224000005</v>
      </c>
      <c r="M428" s="166">
        <f t="shared" si="33"/>
        <v>500865.70589000004</v>
      </c>
      <c r="N428" s="166">
        <f t="shared" si="33"/>
        <v>-90205.270999999993</v>
      </c>
      <c r="O428" s="166">
        <f t="shared" si="31"/>
        <v>410660.43489000003</v>
      </c>
      <c r="P428" s="166">
        <f t="shared" si="33"/>
        <v>346423.75495999999</v>
      </c>
      <c r="Q428" s="166">
        <f t="shared" si="33"/>
        <v>95000</v>
      </c>
      <c r="R428" s="166">
        <f t="shared" si="33"/>
        <v>0</v>
      </c>
      <c r="S428" s="166">
        <f t="shared" si="33"/>
        <v>12000</v>
      </c>
      <c r="T428" s="166">
        <f t="shared" si="33"/>
        <v>152502.29300000001</v>
      </c>
      <c r="U428" s="166">
        <f t="shared" si="33"/>
        <v>405335</v>
      </c>
      <c r="V428" s="166">
        <f t="shared" si="33"/>
        <v>304812.15198999998</v>
      </c>
      <c r="W428" s="166">
        <f t="shared" si="33"/>
        <v>100522.84800999999</v>
      </c>
      <c r="X428" s="166">
        <f t="shared" si="33"/>
        <v>100522.84801000002</v>
      </c>
      <c r="Y428" s="166">
        <f t="shared" si="33"/>
        <v>0</v>
      </c>
      <c r="Z428" s="7" t="s">
        <v>1653</v>
      </c>
      <c r="AA428" s="7" t="s">
        <v>72</v>
      </c>
      <c r="AB428" s="361" t="s">
        <v>72</v>
      </c>
      <c r="AC428" s="361" t="s">
        <v>72</v>
      </c>
      <c r="AD428" s="9" t="s">
        <v>72</v>
      </c>
      <c r="AE428" s="359" t="s">
        <v>72</v>
      </c>
      <c r="AF428" s="359" t="s">
        <v>72</v>
      </c>
    </row>
    <row r="429" spans="1:32" ht="31.2" outlineLevel="1" x14ac:dyDescent="0.25">
      <c r="A429" s="379" t="s">
        <v>220</v>
      </c>
      <c r="B429" s="1930" t="s">
        <v>338</v>
      </c>
      <c r="C429" s="1931" t="s">
        <v>45</v>
      </c>
      <c r="D429" s="1819" t="s">
        <v>1037</v>
      </c>
      <c r="E429" s="1932" t="s">
        <v>4</v>
      </c>
      <c r="F429" s="1933" t="s">
        <v>4</v>
      </c>
      <c r="G429" s="1934">
        <f>3978.16349</f>
        <v>3978.1634899999999</v>
      </c>
      <c r="H429" s="1511">
        <v>2047</v>
      </c>
      <c r="I429" s="1512">
        <v>0</v>
      </c>
      <c r="J429" s="1183">
        <v>0</v>
      </c>
      <c r="K429" s="1513">
        <v>0</v>
      </c>
      <c r="L429" s="1514">
        <f>O429-K429</f>
        <v>1931.1634899999999</v>
      </c>
      <c r="M429" s="1339">
        <v>1931.1634899999999</v>
      </c>
      <c r="N429" s="232">
        <v>0</v>
      </c>
      <c r="O429" s="1621">
        <f t="shared" si="31"/>
        <v>1931.1634899999999</v>
      </c>
      <c r="P429" s="2455">
        <v>0</v>
      </c>
      <c r="Q429" s="2456">
        <v>0</v>
      </c>
      <c r="R429" s="2457">
        <v>0</v>
      </c>
      <c r="S429" s="2458">
        <v>0</v>
      </c>
      <c r="T429" s="2459">
        <v>0</v>
      </c>
      <c r="U429" s="2460">
        <v>0</v>
      </c>
      <c r="V429" s="2461">
        <v>0</v>
      </c>
      <c r="W429" s="2461">
        <v>0</v>
      </c>
      <c r="X429" s="2461">
        <v>0</v>
      </c>
      <c r="Y429" s="2462">
        <v>0</v>
      </c>
      <c r="Z429" s="1933" t="s">
        <v>72</v>
      </c>
      <c r="AA429" s="2463" t="s">
        <v>10</v>
      </c>
      <c r="AB429" s="2464" t="s">
        <v>1073</v>
      </c>
      <c r="AC429" s="2464" t="s">
        <v>80</v>
      </c>
      <c r="AD429" s="2465" t="s">
        <v>90</v>
      </c>
      <c r="AE429" s="1933" t="s">
        <v>167</v>
      </c>
      <c r="AF429" s="1933"/>
    </row>
    <row r="430" spans="1:32" outlineLevel="1" thickBot="1" x14ac:dyDescent="0.3">
      <c r="A430" s="20" t="s">
        <v>84</v>
      </c>
      <c r="B430" s="1928" t="s">
        <v>84</v>
      </c>
      <c r="C430" s="1929" t="s">
        <v>84</v>
      </c>
      <c r="D430" s="78" t="s">
        <v>84</v>
      </c>
      <c r="E430" s="164" t="s">
        <v>84</v>
      </c>
      <c r="F430" s="203" t="s">
        <v>84</v>
      </c>
      <c r="G430" s="972" t="s">
        <v>84</v>
      </c>
      <c r="H430" s="973" t="s">
        <v>84</v>
      </c>
      <c r="I430" s="974" t="s">
        <v>84</v>
      </c>
      <c r="J430" s="975" t="s">
        <v>84</v>
      </c>
      <c r="K430" s="86" t="s">
        <v>84</v>
      </c>
      <c r="L430" s="410" t="s">
        <v>84</v>
      </c>
      <c r="M430" s="38" t="s">
        <v>84</v>
      </c>
      <c r="N430" s="79" t="s">
        <v>84</v>
      </c>
      <c r="O430" s="152" t="s">
        <v>84</v>
      </c>
      <c r="P430" s="1820" t="s">
        <v>84</v>
      </c>
      <c r="Q430" s="2466" t="s">
        <v>84</v>
      </c>
      <c r="R430" s="2218" t="s">
        <v>84</v>
      </c>
      <c r="S430" s="2219" t="s">
        <v>84</v>
      </c>
      <c r="T430" s="2466" t="s">
        <v>84</v>
      </c>
      <c r="U430" s="2218" t="s">
        <v>84</v>
      </c>
      <c r="V430" s="2220" t="s">
        <v>84</v>
      </c>
      <c r="W430" s="2220" t="s">
        <v>84</v>
      </c>
      <c r="X430" s="2219" t="s">
        <v>84</v>
      </c>
      <c r="Y430" s="2217" t="s">
        <v>84</v>
      </c>
      <c r="Z430" s="1820" t="s">
        <v>84</v>
      </c>
      <c r="AA430" s="78" t="s">
        <v>84</v>
      </c>
      <c r="AB430" s="2467" t="s">
        <v>84</v>
      </c>
      <c r="AC430" s="2468" t="s">
        <v>84</v>
      </c>
      <c r="AD430" s="2467" t="s">
        <v>84</v>
      </c>
      <c r="AE430" s="203" t="s">
        <v>84</v>
      </c>
      <c r="AF430" s="203" t="s">
        <v>84</v>
      </c>
    </row>
    <row r="431" spans="1:32" s="967" customFormat="1" ht="18" thickBot="1" x14ac:dyDescent="0.3">
      <c r="A431" s="272" t="s">
        <v>163</v>
      </c>
      <c r="B431" s="273"/>
      <c r="C431" s="382"/>
      <c r="D431" s="7" t="s">
        <v>72</v>
      </c>
      <c r="E431" s="384" t="s">
        <v>72</v>
      </c>
      <c r="F431" s="359" t="s">
        <v>72</v>
      </c>
      <c r="G431" s="166">
        <f>SUM(G429:G430)</f>
        <v>3978.1634899999999</v>
      </c>
      <c r="H431" s="166">
        <f t="shared" ref="H431:Y431" si="34">SUM(H429:H430)</f>
        <v>2047</v>
      </c>
      <c r="I431" s="166">
        <f t="shared" si="34"/>
        <v>0</v>
      </c>
      <c r="J431" s="166">
        <f t="shared" si="34"/>
        <v>0</v>
      </c>
      <c r="K431" s="166">
        <f t="shared" si="34"/>
        <v>0</v>
      </c>
      <c r="L431" s="166">
        <f t="shared" si="34"/>
        <v>1931.1634899999999</v>
      </c>
      <c r="M431" s="166">
        <f t="shared" si="34"/>
        <v>1931.1634899999999</v>
      </c>
      <c r="N431" s="166">
        <f t="shared" si="34"/>
        <v>0</v>
      </c>
      <c r="O431" s="166">
        <f t="shared" si="31"/>
        <v>1931.1634899999999</v>
      </c>
      <c r="P431" s="166">
        <f t="shared" si="34"/>
        <v>0</v>
      </c>
      <c r="Q431" s="166">
        <f t="shared" si="34"/>
        <v>0</v>
      </c>
      <c r="R431" s="166">
        <f t="shared" si="34"/>
        <v>0</v>
      </c>
      <c r="S431" s="166">
        <f t="shared" si="34"/>
        <v>0</v>
      </c>
      <c r="T431" s="166">
        <f t="shared" si="34"/>
        <v>0</v>
      </c>
      <c r="U431" s="166">
        <f t="shared" si="34"/>
        <v>0</v>
      </c>
      <c r="V431" s="166">
        <f t="shared" si="34"/>
        <v>0</v>
      </c>
      <c r="W431" s="166">
        <f t="shared" si="34"/>
        <v>0</v>
      </c>
      <c r="X431" s="166">
        <f t="shared" si="34"/>
        <v>0</v>
      </c>
      <c r="Y431" s="166">
        <f t="shared" si="34"/>
        <v>0</v>
      </c>
      <c r="Z431" s="7" t="s">
        <v>1225</v>
      </c>
      <c r="AA431" s="7" t="s">
        <v>72</v>
      </c>
      <c r="AB431" s="361" t="s">
        <v>72</v>
      </c>
      <c r="AC431" s="361" t="s">
        <v>72</v>
      </c>
      <c r="AD431" s="9" t="s">
        <v>72</v>
      </c>
      <c r="AE431" s="359" t="s">
        <v>72</v>
      </c>
      <c r="AF431" s="359" t="s">
        <v>72</v>
      </c>
    </row>
    <row r="432" spans="1:32" ht="27" outlineLevel="1" thickBot="1" x14ac:dyDescent="0.3">
      <c r="A432" s="552" t="s">
        <v>133</v>
      </c>
      <c r="B432" s="553" t="s">
        <v>403</v>
      </c>
      <c r="C432" s="554" t="s">
        <v>132</v>
      </c>
      <c r="D432" s="56" t="s">
        <v>1013</v>
      </c>
      <c r="E432" s="983" t="s">
        <v>47</v>
      </c>
      <c r="F432" s="984" t="s">
        <v>47</v>
      </c>
      <c r="G432" s="57">
        <f>1362.8-740+400</f>
        <v>1022.8</v>
      </c>
      <c r="H432" s="125">
        <v>622.79999999999995</v>
      </c>
      <c r="I432" s="471">
        <v>0</v>
      </c>
      <c r="J432" s="555">
        <v>0</v>
      </c>
      <c r="K432" s="556">
        <v>0</v>
      </c>
      <c r="L432" s="68">
        <v>0</v>
      </c>
      <c r="M432" s="479">
        <v>200</v>
      </c>
      <c r="N432" s="559">
        <v>-200</v>
      </c>
      <c r="O432" s="478">
        <v>0</v>
      </c>
      <c r="P432" s="68">
        <v>200</v>
      </c>
      <c r="Q432" s="66">
        <v>200</v>
      </c>
      <c r="R432" s="557">
        <v>0</v>
      </c>
      <c r="S432" s="201">
        <v>0</v>
      </c>
      <c r="T432" s="68">
        <v>0</v>
      </c>
      <c r="U432" s="473">
        <v>0</v>
      </c>
      <c r="V432" s="560">
        <v>0</v>
      </c>
      <c r="W432" s="560">
        <v>0</v>
      </c>
      <c r="X432" s="560">
        <v>0</v>
      </c>
      <c r="Y432" s="520">
        <v>0</v>
      </c>
      <c r="Z432" s="177" t="s">
        <v>1685</v>
      </c>
      <c r="AA432" s="69" t="s">
        <v>10</v>
      </c>
      <c r="AB432" s="561" t="s">
        <v>382</v>
      </c>
      <c r="AC432" s="561" t="s">
        <v>80</v>
      </c>
      <c r="AD432" s="187" t="s">
        <v>89</v>
      </c>
      <c r="AE432" s="969" t="s">
        <v>75</v>
      </c>
      <c r="AF432" s="969" t="s">
        <v>656</v>
      </c>
    </row>
    <row r="433" spans="1:32" ht="52.8" outlineLevel="1" x14ac:dyDescent="0.25">
      <c r="A433" s="522" t="s">
        <v>453</v>
      </c>
      <c r="B433" s="523" t="s">
        <v>346</v>
      </c>
      <c r="C433" s="524" t="s">
        <v>244</v>
      </c>
      <c r="D433" s="289" t="s">
        <v>929</v>
      </c>
      <c r="E433" s="525" t="s">
        <v>4</v>
      </c>
      <c r="F433" s="526" t="s">
        <v>610</v>
      </c>
      <c r="G433" s="527">
        <v>359347.712</v>
      </c>
      <c r="H433" s="528">
        <v>0</v>
      </c>
      <c r="I433" s="529">
        <v>0</v>
      </c>
      <c r="J433" s="530">
        <v>181.5</v>
      </c>
      <c r="K433" s="531">
        <v>0</v>
      </c>
      <c r="L433" s="532">
        <f t="shared" ref="L433:L438" si="35">O433-K433</f>
        <v>568.70000000002619</v>
      </c>
      <c r="M433" s="534">
        <v>108406.50360000003</v>
      </c>
      <c r="N433" s="535">
        <v>-107837.8036</v>
      </c>
      <c r="O433" s="536">
        <f t="shared" ref="O433:O438" si="36">M433+N433</f>
        <v>568.70000000002619</v>
      </c>
      <c r="P433" s="537">
        <v>212591.40719999999</v>
      </c>
      <c r="Q433" s="538">
        <v>146187.6048</v>
      </c>
      <c r="R433" s="533">
        <v>0</v>
      </c>
      <c r="S433" s="539">
        <v>0</v>
      </c>
      <c r="T433" s="540">
        <v>0</v>
      </c>
      <c r="U433" s="541">
        <v>0</v>
      </c>
      <c r="V433" s="542">
        <v>0</v>
      </c>
      <c r="W433" s="542">
        <v>0</v>
      </c>
      <c r="X433" s="542">
        <v>0</v>
      </c>
      <c r="Y433" s="543">
        <v>0</v>
      </c>
      <c r="Z433" s="544" t="s">
        <v>1971</v>
      </c>
      <c r="AA433" s="289" t="s">
        <v>10</v>
      </c>
      <c r="AB433" s="545" t="s">
        <v>1682</v>
      </c>
      <c r="AC433" s="545" t="s">
        <v>80</v>
      </c>
      <c r="AD433" s="546" t="s">
        <v>90</v>
      </c>
      <c r="AE433" s="526" t="s">
        <v>1378</v>
      </c>
      <c r="AF433" s="526" t="s">
        <v>655</v>
      </c>
    </row>
    <row r="434" spans="1:32" ht="52.8" outlineLevel="1" x14ac:dyDescent="0.25">
      <c r="A434" s="547" t="s">
        <v>454</v>
      </c>
      <c r="B434" s="1935" t="s">
        <v>347</v>
      </c>
      <c r="C434" s="1936" t="s">
        <v>245</v>
      </c>
      <c r="D434" s="1769" t="s">
        <v>929</v>
      </c>
      <c r="E434" s="1937" t="s">
        <v>4</v>
      </c>
      <c r="F434" s="1938" t="s">
        <v>610</v>
      </c>
      <c r="G434" s="1939">
        <v>115254.09187</v>
      </c>
      <c r="H434" s="1515">
        <v>50654.498</v>
      </c>
      <c r="I434" s="1516">
        <v>54460.454519999999</v>
      </c>
      <c r="J434" s="1517">
        <v>10129.09635</v>
      </c>
      <c r="K434" s="1518">
        <v>54460.454519999999</v>
      </c>
      <c r="L434" s="1519">
        <f t="shared" si="35"/>
        <v>10139.139350000019</v>
      </c>
      <c r="M434" s="1520">
        <v>66341.838000000018</v>
      </c>
      <c r="N434" s="548">
        <v>-1742.24413</v>
      </c>
      <c r="O434" s="2469">
        <f t="shared" si="36"/>
        <v>64599.593870000019</v>
      </c>
      <c r="P434" s="2470">
        <v>0</v>
      </c>
      <c r="Q434" s="2471">
        <v>0</v>
      </c>
      <c r="R434" s="2472">
        <v>0</v>
      </c>
      <c r="S434" s="2473">
        <v>0</v>
      </c>
      <c r="T434" s="2474">
        <v>0</v>
      </c>
      <c r="U434" s="2475">
        <v>0</v>
      </c>
      <c r="V434" s="1566">
        <v>0</v>
      </c>
      <c r="W434" s="1566">
        <v>0</v>
      </c>
      <c r="X434" s="1566">
        <v>0</v>
      </c>
      <c r="Y434" s="2476">
        <v>0</v>
      </c>
      <c r="Z434" s="2477" t="s">
        <v>1683</v>
      </c>
      <c r="AA434" s="1769" t="s">
        <v>10</v>
      </c>
      <c r="AB434" s="2478" t="s">
        <v>1073</v>
      </c>
      <c r="AC434" s="2478" t="s">
        <v>80</v>
      </c>
      <c r="AD434" s="2141" t="s">
        <v>90</v>
      </c>
      <c r="AE434" s="1938" t="s">
        <v>1379</v>
      </c>
      <c r="AF434" s="1938" t="s">
        <v>655</v>
      </c>
    </row>
    <row r="435" spans="1:32" ht="52.8" outlineLevel="1" x14ac:dyDescent="0.25">
      <c r="A435" s="14" t="s">
        <v>455</v>
      </c>
      <c r="B435" s="1940" t="s">
        <v>348</v>
      </c>
      <c r="C435" s="1941" t="s">
        <v>246</v>
      </c>
      <c r="D435" s="1687" t="s">
        <v>929</v>
      </c>
      <c r="E435" s="1895" t="s">
        <v>4</v>
      </c>
      <c r="F435" s="1688" t="s">
        <v>610</v>
      </c>
      <c r="G435" s="1689">
        <v>99242.307990000001</v>
      </c>
      <c r="H435" s="1521">
        <v>98912.150840000002</v>
      </c>
      <c r="I435" s="1522">
        <v>330.15715</v>
      </c>
      <c r="J435" s="1523">
        <v>0</v>
      </c>
      <c r="K435" s="1524">
        <v>330.15715</v>
      </c>
      <c r="L435" s="1525">
        <f t="shared" si="35"/>
        <v>0</v>
      </c>
      <c r="M435" s="1245">
        <v>330.15715</v>
      </c>
      <c r="N435" s="246">
        <v>0</v>
      </c>
      <c r="O435" s="2047">
        <f t="shared" si="36"/>
        <v>330.15715</v>
      </c>
      <c r="P435" s="2479">
        <v>0</v>
      </c>
      <c r="Q435" s="2480">
        <v>0</v>
      </c>
      <c r="R435" s="2481">
        <v>0</v>
      </c>
      <c r="S435" s="2482">
        <v>0</v>
      </c>
      <c r="T435" s="2483">
        <v>0</v>
      </c>
      <c r="U435" s="1243">
        <v>0</v>
      </c>
      <c r="V435" s="1375">
        <v>0</v>
      </c>
      <c r="W435" s="1375">
        <v>0</v>
      </c>
      <c r="X435" s="1375">
        <v>0</v>
      </c>
      <c r="Y435" s="2049">
        <v>0</v>
      </c>
      <c r="Z435" s="2211" t="s">
        <v>72</v>
      </c>
      <c r="AA435" s="1687" t="s">
        <v>83</v>
      </c>
      <c r="AB435" s="2051" t="s">
        <v>409</v>
      </c>
      <c r="AC435" s="2051" t="s">
        <v>80</v>
      </c>
      <c r="AD435" s="2052" t="s">
        <v>90</v>
      </c>
      <c r="AE435" s="1688" t="s">
        <v>1380</v>
      </c>
      <c r="AF435" s="1688" t="s">
        <v>655</v>
      </c>
    </row>
    <row r="436" spans="1:32" ht="53.4" outlineLevel="1" thickBot="1" x14ac:dyDescent="0.3">
      <c r="A436" s="226" t="s">
        <v>401</v>
      </c>
      <c r="B436" s="1921" t="s">
        <v>349</v>
      </c>
      <c r="C436" s="1828" t="s">
        <v>248</v>
      </c>
      <c r="D436" s="1661" t="s">
        <v>929</v>
      </c>
      <c r="E436" s="1785" t="s">
        <v>4</v>
      </c>
      <c r="F436" s="1663" t="s">
        <v>610</v>
      </c>
      <c r="G436" s="1719">
        <v>30309.530790000001</v>
      </c>
      <c r="H436" s="1494">
        <v>21489.553</v>
      </c>
      <c r="I436" s="1495">
        <v>181.5</v>
      </c>
      <c r="J436" s="1496">
        <v>8110.9669999999996</v>
      </c>
      <c r="K436" s="1386">
        <v>181.5</v>
      </c>
      <c r="L436" s="1526">
        <f t="shared" si="35"/>
        <v>8638.4777900000008</v>
      </c>
      <c r="M436" s="1218">
        <v>8819.9777900000008</v>
      </c>
      <c r="N436" s="276">
        <v>0</v>
      </c>
      <c r="O436" s="1619">
        <f t="shared" si="36"/>
        <v>8819.9777900000008</v>
      </c>
      <c r="P436" s="2435">
        <v>0</v>
      </c>
      <c r="Q436" s="2434">
        <v>0</v>
      </c>
      <c r="R436" s="2232">
        <v>0</v>
      </c>
      <c r="S436" s="1497">
        <v>0</v>
      </c>
      <c r="T436" s="2484">
        <v>0</v>
      </c>
      <c r="U436" s="1273">
        <v>0</v>
      </c>
      <c r="V436" s="1216">
        <v>0</v>
      </c>
      <c r="W436" s="1216">
        <v>0</v>
      </c>
      <c r="X436" s="1216">
        <v>0</v>
      </c>
      <c r="Y436" s="1620">
        <v>0</v>
      </c>
      <c r="Z436" s="85" t="s">
        <v>72</v>
      </c>
      <c r="AA436" s="1661" t="s">
        <v>10</v>
      </c>
      <c r="AB436" s="2088" t="s">
        <v>382</v>
      </c>
      <c r="AC436" s="2088" t="s">
        <v>80</v>
      </c>
      <c r="AD436" s="15" t="s">
        <v>90</v>
      </c>
      <c r="AE436" s="1663" t="s">
        <v>1381</v>
      </c>
      <c r="AF436" s="1663" t="s">
        <v>655</v>
      </c>
    </row>
    <row r="437" spans="1:32" ht="27" outlineLevel="1" thickBot="1" x14ac:dyDescent="0.3">
      <c r="A437" s="159" t="s">
        <v>402</v>
      </c>
      <c r="B437" s="1942" t="s">
        <v>541</v>
      </c>
      <c r="C437" s="1943" t="s">
        <v>1388</v>
      </c>
      <c r="D437" s="1655" t="s">
        <v>945</v>
      </c>
      <c r="E437" s="1944" t="s">
        <v>4</v>
      </c>
      <c r="F437" s="1657" t="s">
        <v>4</v>
      </c>
      <c r="G437" s="1945">
        <v>3728.4940000000001</v>
      </c>
      <c r="H437" s="1527">
        <v>3643.7940000000003</v>
      </c>
      <c r="I437" s="1528">
        <v>84.7</v>
      </c>
      <c r="J437" s="1529">
        <v>0</v>
      </c>
      <c r="K437" s="1530">
        <v>84.7</v>
      </c>
      <c r="L437" s="1531">
        <f t="shared" si="35"/>
        <v>0</v>
      </c>
      <c r="M437" s="1212">
        <v>84.699999999999989</v>
      </c>
      <c r="N437" s="298">
        <v>0</v>
      </c>
      <c r="O437" s="1622">
        <f t="shared" si="36"/>
        <v>84.699999999999989</v>
      </c>
      <c r="P437" s="2485">
        <v>0</v>
      </c>
      <c r="Q437" s="2486">
        <v>0</v>
      </c>
      <c r="R437" s="2487">
        <v>0</v>
      </c>
      <c r="S437" s="2488">
        <v>0</v>
      </c>
      <c r="T437" s="2489">
        <v>0</v>
      </c>
      <c r="U437" s="1623">
        <v>0</v>
      </c>
      <c r="V437" s="1210">
        <v>0</v>
      </c>
      <c r="W437" s="1210">
        <v>0</v>
      </c>
      <c r="X437" s="1210">
        <v>0</v>
      </c>
      <c r="Y437" s="1624">
        <v>0</v>
      </c>
      <c r="Z437" s="2014" t="s">
        <v>72</v>
      </c>
      <c r="AA437" s="1655" t="s">
        <v>83</v>
      </c>
      <c r="AB437" s="2490" t="s">
        <v>533</v>
      </c>
      <c r="AC437" s="2490" t="s">
        <v>80</v>
      </c>
      <c r="AD437" s="2016" t="s">
        <v>89</v>
      </c>
      <c r="AE437" s="1657" t="s">
        <v>75</v>
      </c>
      <c r="AF437" s="1657" t="s">
        <v>656</v>
      </c>
    </row>
    <row r="438" spans="1:32" ht="66" outlineLevel="1" x14ac:dyDescent="0.25">
      <c r="A438" s="522" t="s">
        <v>871</v>
      </c>
      <c r="B438" s="523" t="s">
        <v>873</v>
      </c>
      <c r="C438" s="524" t="s">
        <v>872</v>
      </c>
      <c r="D438" s="289" t="s">
        <v>1038</v>
      </c>
      <c r="E438" s="525" t="s">
        <v>4</v>
      </c>
      <c r="F438" s="526" t="s">
        <v>610</v>
      </c>
      <c r="G438" s="527">
        <v>80267.77</v>
      </c>
      <c r="H438" s="528">
        <v>0</v>
      </c>
      <c r="I438" s="529">
        <v>0</v>
      </c>
      <c r="J438" s="530">
        <v>0</v>
      </c>
      <c r="K438" s="531">
        <v>0</v>
      </c>
      <c r="L438" s="532">
        <f t="shared" si="35"/>
        <v>0</v>
      </c>
      <c r="M438" s="534">
        <v>45000</v>
      </c>
      <c r="N438" s="535">
        <v>-45000</v>
      </c>
      <c r="O438" s="549">
        <f t="shared" si="36"/>
        <v>0</v>
      </c>
      <c r="P438" s="537">
        <v>40942.769999999997</v>
      </c>
      <c r="Q438" s="532">
        <v>39325</v>
      </c>
      <c r="R438" s="533">
        <v>0</v>
      </c>
      <c r="S438" s="539">
        <v>0</v>
      </c>
      <c r="T438" s="550">
        <v>0</v>
      </c>
      <c r="U438" s="541">
        <v>0</v>
      </c>
      <c r="V438" s="542">
        <v>0</v>
      </c>
      <c r="W438" s="542">
        <v>0</v>
      </c>
      <c r="X438" s="542">
        <v>0</v>
      </c>
      <c r="Y438" s="543">
        <v>0</v>
      </c>
      <c r="Z438" s="544" t="s">
        <v>1684</v>
      </c>
      <c r="AA438" s="289" t="s">
        <v>6</v>
      </c>
      <c r="AB438" s="545" t="s">
        <v>382</v>
      </c>
      <c r="AC438" s="545" t="s">
        <v>79</v>
      </c>
      <c r="AD438" s="546" t="s">
        <v>90</v>
      </c>
      <c r="AE438" s="526" t="s">
        <v>1389</v>
      </c>
      <c r="AF438" s="526" t="s">
        <v>655</v>
      </c>
    </row>
    <row r="439" spans="1:32" outlineLevel="1" thickBot="1" x14ac:dyDescent="0.3">
      <c r="A439" s="20" t="s">
        <v>84</v>
      </c>
      <c r="B439" s="1928" t="s">
        <v>84</v>
      </c>
      <c r="C439" s="1929" t="s">
        <v>84</v>
      </c>
      <c r="D439" s="78" t="s">
        <v>84</v>
      </c>
      <c r="E439" s="164" t="s">
        <v>84</v>
      </c>
      <c r="F439" s="203" t="s">
        <v>84</v>
      </c>
      <c r="G439" s="972" t="s">
        <v>84</v>
      </c>
      <c r="H439" s="973" t="s">
        <v>84</v>
      </c>
      <c r="I439" s="974" t="s">
        <v>84</v>
      </c>
      <c r="J439" s="975" t="s">
        <v>84</v>
      </c>
      <c r="K439" s="86" t="s">
        <v>84</v>
      </c>
      <c r="L439" s="410" t="s">
        <v>84</v>
      </c>
      <c r="M439" s="38" t="s">
        <v>84</v>
      </c>
      <c r="N439" s="79" t="s">
        <v>84</v>
      </c>
      <c r="O439" s="152" t="s">
        <v>84</v>
      </c>
      <c r="P439" s="38" t="s">
        <v>84</v>
      </c>
      <c r="Q439" s="83" t="s">
        <v>84</v>
      </c>
      <c r="R439" s="120" t="s">
        <v>84</v>
      </c>
      <c r="S439" s="84" t="s">
        <v>84</v>
      </c>
      <c r="T439" s="83" t="s">
        <v>84</v>
      </c>
      <c r="U439" s="120" t="s">
        <v>84</v>
      </c>
      <c r="V439" s="86" t="s">
        <v>84</v>
      </c>
      <c r="W439" s="86" t="s">
        <v>84</v>
      </c>
      <c r="X439" s="84" t="s">
        <v>84</v>
      </c>
      <c r="Y439" s="79" t="s">
        <v>84</v>
      </c>
      <c r="Z439" s="38" t="s">
        <v>84</v>
      </c>
      <c r="AA439" s="78" t="s">
        <v>84</v>
      </c>
      <c r="AB439" s="21" t="s">
        <v>84</v>
      </c>
      <c r="AC439" s="21" t="s">
        <v>84</v>
      </c>
      <c r="AD439" s="20" t="s">
        <v>84</v>
      </c>
      <c r="AE439" s="203" t="s">
        <v>84</v>
      </c>
      <c r="AF439" s="203" t="s">
        <v>84</v>
      </c>
    </row>
    <row r="440" spans="1:32" s="967" customFormat="1" ht="18" thickBot="1" x14ac:dyDescent="0.3">
      <c r="A440" s="272" t="s">
        <v>398</v>
      </c>
      <c r="B440" s="273"/>
      <c r="C440" s="279"/>
      <c r="D440" s="7" t="s">
        <v>72</v>
      </c>
      <c r="E440" s="384" t="s">
        <v>72</v>
      </c>
      <c r="F440" s="359" t="s">
        <v>72</v>
      </c>
      <c r="G440" s="166">
        <f>SUM(G432:G439)</f>
        <v>689172.70664999995</v>
      </c>
      <c r="H440" s="166">
        <f t="shared" ref="H440:Y440" si="37">SUM(H432:H439)</f>
        <v>175322.79583999998</v>
      </c>
      <c r="I440" s="166">
        <f t="shared" si="37"/>
        <v>55056.811669999996</v>
      </c>
      <c r="J440" s="166">
        <f t="shared" si="37"/>
        <v>18421.56335</v>
      </c>
      <c r="K440" s="166">
        <f t="shared" si="37"/>
        <v>55056.811669999996</v>
      </c>
      <c r="L440" s="166">
        <f t="shared" si="37"/>
        <v>19346.317140000046</v>
      </c>
      <c r="M440" s="166">
        <f t="shared" si="37"/>
        <v>229183.17654000007</v>
      </c>
      <c r="N440" s="166">
        <f t="shared" si="37"/>
        <v>-154780.04772999999</v>
      </c>
      <c r="O440" s="166">
        <f t="shared" si="31"/>
        <v>74403.128810000082</v>
      </c>
      <c r="P440" s="166">
        <f t="shared" si="37"/>
        <v>253734.17719999998</v>
      </c>
      <c r="Q440" s="166">
        <f t="shared" si="37"/>
        <v>185712.6048</v>
      </c>
      <c r="R440" s="166">
        <f t="shared" si="37"/>
        <v>0</v>
      </c>
      <c r="S440" s="1163">
        <f t="shared" si="37"/>
        <v>0</v>
      </c>
      <c r="T440" s="166">
        <f t="shared" si="37"/>
        <v>0</v>
      </c>
      <c r="U440" s="166">
        <f t="shared" si="37"/>
        <v>0</v>
      </c>
      <c r="V440" s="166">
        <f t="shared" si="37"/>
        <v>0</v>
      </c>
      <c r="W440" s="166">
        <f t="shared" si="37"/>
        <v>0</v>
      </c>
      <c r="X440" s="166">
        <f t="shared" si="37"/>
        <v>0</v>
      </c>
      <c r="Y440" s="166">
        <f t="shared" si="37"/>
        <v>0</v>
      </c>
      <c r="Z440" s="7" t="s">
        <v>1963</v>
      </c>
      <c r="AA440" s="7" t="s">
        <v>72</v>
      </c>
      <c r="AB440" s="361" t="s">
        <v>72</v>
      </c>
      <c r="AC440" s="361" t="s">
        <v>72</v>
      </c>
      <c r="AD440" s="9" t="s">
        <v>72</v>
      </c>
      <c r="AE440" s="359" t="s">
        <v>72</v>
      </c>
      <c r="AF440" s="359" t="s">
        <v>72</v>
      </c>
    </row>
    <row r="441" spans="1:32" ht="46.8" outlineLevel="1" x14ac:dyDescent="0.25">
      <c r="A441" s="446" t="s">
        <v>272</v>
      </c>
      <c r="B441" s="447" t="s">
        <v>339</v>
      </c>
      <c r="C441" s="448" t="s">
        <v>273</v>
      </c>
      <c r="D441" s="40" t="s">
        <v>861</v>
      </c>
      <c r="E441" s="947" t="s">
        <v>4</v>
      </c>
      <c r="F441" s="948" t="s">
        <v>4</v>
      </c>
      <c r="G441" s="44">
        <v>19290.310000000001</v>
      </c>
      <c r="H441" s="81">
        <v>462.98230000000001</v>
      </c>
      <c r="I441" s="949">
        <v>0</v>
      </c>
      <c r="J441" s="950">
        <v>704.99</v>
      </c>
      <c r="K441" s="449">
        <v>0</v>
      </c>
      <c r="L441" s="450">
        <f>O441-K441</f>
        <v>960.46769999999924</v>
      </c>
      <c r="M441" s="135">
        <v>2505.6376999999993</v>
      </c>
      <c r="N441" s="452">
        <v>-1545.17</v>
      </c>
      <c r="O441" s="452">
        <f t="shared" si="31"/>
        <v>960.46769999999924</v>
      </c>
      <c r="P441" s="55">
        <v>16076.06</v>
      </c>
      <c r="Q441" s="48">
        <v>1790.8</v>
      </c>
      <c r="R441" s="90">
        <v>0</v>
      </c>
      <c r="S441" s="98">
        <v>0</v>
      </c>
      <c r="T441" s="59">
        <v>0</v>
      </c>
      <c r="U441" s="453">
        <v>0</v>
      </c>
      <c r="V441" s="454">
        <v>0</v>
      </c>
      <c r="W441" s="454">
        <v>0</v>
      </c>
      <c r="X441" s="454">
        <v>0</v>
      </c>
      <c r="Y441" s="455">
        <v>0</v>
      </c>
      <c r="Z441" s="162" t="s">
        <v>1661</v>
      </c>
      <c r="AA441" s="40" t="s">
        <v>10</v>
      </c>
      <c r="AB441" s="456" t="s">
        <v>1231</v>
      </c>
      <c r="AC441" s="456" t="s">
        <v>80</v>
      </c>
      <c r="AD441" s="114" t="s">
        <v>89</v>
      </c>
      <c r="AE441" s="948" t="s">
        <v>280</v>
      </c>
      <c r="AF441" s="1000" t="s">
        <v>659</v>
      </c>
    </row>
    <row r="442" spans="1:32" ht="39.6" outlineLevel="1" x14ac:dyDescent="0.25">
      <c r="A442" s="222" t="s">
        <v>274</v>
      </c>
      <c r="B442" s="1627" t="s">
        <v>340</v>
      </c>
      <c r="C442" s="1857" t="s">
        <v>275</v>
      </c>
      <c r="D442" s="1629" t="s">
        <v>861</v>
      </c>
      <c r="E442" s="1630" t="s">
        <v>4</v>
      </c>
      <c r="F442" s="1631" t="s">
        <v>4</v>
      </c>
      <c r="G442" s="1683">
        <v>29002.49</v>
      </c>
      <c r="H442" s="1500">
        <v>85.91</v>
      </c>
      <c r="I442" s="1501">
        <v>0</v>
      </c>
      <c r="J442" s="1502">
        <v>566.28</v>
      </c>
      <c r="K442" s="1167">
        <v>0</v>
      </c>
      <c r="L442" s="1168">
        <f>O442-K442</f>
        <v>566.27999999999975</v>
      </c>
      <c r="M442" s="1191">
        <v>566.27999999999975</v>
      </c>
      <c r="N442" s="237">
        <v>0</v>
      </c>
      <c r="O442" s="1615">
        <f t="shared" si="31"/>
        <v>566.27999999999975</v>
      </c>
      <c r="P442" s="2441">
        <v>13812.15</v>
      </c>
      <c r="Q442" s="2491">
        <v>14538.15</v>
      </c>
      <c r="R442" s="1983">
        <v>0</v>
      </c>
      <c r="S442" s="1984">
        <v>0</v>
      </c>
      <c r="T442" s="1982">
        <v>0</v>
      </c>
      <c r="U442" s="1239">
        <v>0</v>
      </c>
      <c r="V442" s="1189">
        <v>0</v>
      </c>
      <c r="W442" s="1189">
        <v>0</v>
      </c>
      <c r="X442" s="1189">
        <v>0</v>
      </c>
      <c r="Y442" s="1616">
        <v>0</v>
      </c>
      <c r="Z442" s="1985" t="s">
        <v>72</v>
      </c>
      <c r="AA442" s="1642" t="s">
        <v>10</v>
      </c>
      <c r="AB442" s="1987" t="s">
        <v>1662</v>
      </c>
      <c r="AC442" s="1987" t="s">
        <v>80</v>
      </c>
      <c r="AD442" s="1986" t="s">
        <v>89</v>
      </c>
      <c r="AE442" s="1631" t="s">
        <v>280</v>
      </c>
      <c r="AF442" s="2492" t="s">
        <v>659</v>
      </c>
    </row>
    <row r="443" spans="1:32" ht="39.6" outlineLevel="1" x14ac:dyDescent="0.25">
      <c r="A443" s="457" t="s">
        <v>276</v>
      </c>
      <c r="B443" s="458" t="s">
        <v>341</v>
      </c>
      <c r="C443" s="459" t="s">
        <v>277</v>
      </c>
      <c r="D443" s="41" t="s">
        <v>861</v>
      </c>
      <c r="E443" s="981" t="s">
        <v>4</v>
      </c>
      <c r="F443" s="957" t="s">
        <v>4</v>
      </c>
      <c r="G443" s="47">
        <v>11559.13</v>
      </c>
      <c r="H443" s="389">
        <v>78.650000000000006</v>
      </c>
      <c r="I443" s="1001">
        <v>0</v>
      </c>
      <c r="J443" s="1002">
        <v>471.9</v>
      </c>
      <c r="K443" s="116">
        <v>0</v>
      </c>
      <c r="L443" s="123">
        <f>O443-K443</f>
        <v>2544.63</v>
      </c>
      <c r="M443" s="460">
        <v>1235.4100000000001</v>
      </c>
      <c r="N443" s="461">
        <v>1309.22</v>
      </c>
      <c r="O443" s="462">
        <f t="shared" si="31"/>
        <v>2544.63</v>
      </c>
      <c r="P443" s="54">
        <v>7080.92</v>
      </c>
      <c r="Q443" s="50">
        <v>1854.93</v>
      </c>
      <c r="R443" s="97">
        <v>0</v>
      </c>
      <c r="S443" s="98">
        <v>0</v>
      </c>
      <c r="T443" s="45">
        <v>0</v>
      </c>
      <c r="U443" s="463">
        <v>0</v>
      </c>
      <c r="V443" s="464">
        <v>0</v>
      </c>
      <c r="W443" s="464">
        <v>0</v>
      </c>
      <c r="X443" s="464">
        <v>0</v>
      </c>
      <c r="Y443" s="465">
        <v>0</v>
      </c>
      <c r="Z443" s="169" t="s">
        <v>1663</v>
      </c>
      <c r="AA443" s="40" t="s">
        <v>10</v>
      </c>
      <c r="AB443" s="466" t="s">
        <v>1662</v>
      </c>
      <c r="AC443" s="466" t="s">
        <v>80</v>
      </c>
      <c r="AD443" s="49" t="s">
        <v>89</v>
      </c>
      <c r="AE443" s="957" t="s">
        <v>280</v>
      </c>
      <c r="AF443" s="1000" t="s">
        <v>659</v>
      </c>
    </row>
    <row r="444" spans="1:32" outlineLevel="1" thickBot="1" x14ac:dyDescent="0.3">
      <c r="A444" s="20" t="s">
        <v>84</v>
      </c>
      <c r="B444" s="269" t="s">
        <v>84</v>
      </c>
      <c r="C444" s="1946" t="s">
        <v>84</v>
      </c>
      <c r="D444" s="78" t="s">
        <v>84</v>
      </c>
      <c r="E444" s="164" t="s">
        <v>84</v>
      </c>
      <c r="F444" s="203" t="s">
        <v>84</v>
      </c>
      <c r="G444" s="972" t="s">
        <v>84</v>
      </c>
      <c r="H444" s="1224" t="s">
        <v>84</v>
      </c>
      <c r="I444" s="1225" t="s">
        <v>84</v>
      </c>
      <c r="J444" s="1226" t="s">
        <v>84</v>
      </c>
      <c r="K444" s="1227" t="s">
        <v>84</v>
      </c>
      <c r="L444" s="1228" t="s">
        <v>84</v>
      </c>
      <c r="M444" s="85" t="s">
        <v>84</v>
      </c>
      <c r="N444" s="168" t="s">
        <v>84</v>
      </c>
      <c r="O444" s="1218" t="s">
        <v>84</v>
      </c>
      <c r="P444" s="1820" t="s">
        <v>84</v>
      </c>
      <c r="Q444" s="2466" t="s">
        <v>84</v>
      </c>
      <c r="R444" s="2218" t="s">
        <v>84</v>
      </c>
      <c r="S444" s="2219" t="s">
        <v>84</v>
      </c>
      <c r="T444" s="2466" t="s">
        <v>84</v>
      </c>
      <c r="U444" s="2218" t="s">
        <v>84</v>
      </c>
      <c r="V444" s="2220" t="s">
        <v>84</v>
      </c>
      <c r="W444" s="2220" t="s">
        <v>84</v>
      </c>
      <c r="X444" s="2219" t="s">
        <v>84</v>
      </c>
      <c r="Y444" s="2217" t="s">
        <v>84</v>
      </c>
      <c r="Z444" s="1820" t="s">
        <v>84</v>
      </c>
      <c r="AA444" s="1661" t="s">
        <v>84</v>
      </c>
      <c r="AB444" s="2493" t="s">
        <v>84</v>
      </c>
      <c r="AC444" s="2468" t="s">
        <v>84</v>
      </c>
      <c r="AD444" s="2493" t="s">
        <v>84</v>
      </c>
      <c r="AE444" s="1663" t="s">
        <v>84</v>
      </c>
      <c r="AF444" s="1663" t="s">
        <v>84</v>
      </c>
    </row>
    <row r="445" spans="1:32" s="967" customFormat="1" ht="18" thickBot="1" x14ac:dyDescent="0.3">
      <c r="A445" s="272" t="s">
        <v>93</v>
      </c>
      <c r="B445" s="273"/>
      <c r="C445" s="279"/>
      <c r="D445" s="7" t="s">
        <v>72</v>
      </c>
      <c r="E445" s="384" t="s">
        <v>72</v>
      </c>
      <c r="F445" s="359" t="s">
        <v>72</v>
      </c>
      <c r="G445" s="166">
        <f>SUM(G441:G444)</f>
        <v>59851.93</v>
      </c>
      <c r="H445" s="166">
        <f t="shared" ref="H445:Y445" si="38">SUM(H441:H444)</f>
        <v>627.54229999999995</v>
      </c>
      <c r="I445" s="166">
        <f t="shared" si="38"/>
        <v>0</v>
      </c>
      <c r="J445" s="166">
        <f t="shared" si="38"/>
        <v>1743.17</v>
      </c>
      <c r="K445" s="166">
        <f t="shared" si="38"/>
        <v>0</v>
      </c>
      <c r="L445" s="166">
        <f t="shared" si="38"/>
        <v>4071.3776999999991</v>
      </c>
      <c r="M445" s="166">
        <f t="shared" si="38"/>
        <v>4307.3276999999989</v>
      </c>
      <c r="N445" s="166">
        <f t="shared" si="38"/>
        <v>-235.95000000000005</v>
      </c>
      <c r="O445" s="166">
        <f t="shared" si="31"/>
        <v>4071.3776999999991</v>
      </c>
      <c r="P445" s="166">
        <f t="shared" si="38"/>
        <v>36969.129999999997</v>
      </c>
      <c r="Q445" s="166">
        <f t="shared" si="38"/>
        <v>18183.879999999997</v>
      </c>
      <c r="R445" s="166">
        <f t="shared" si="38"/>
        <v>0</v>
      </c>
      <c r="S445" s="166">
        <f t="shared" si="38"/>
        <v>0</v>
      </c>
      <c r="T445" s="167">
        <f t="shared" si="38"/>
        <v>0</v>
      </c>
      <c r="U445" s="166">
        <f t="shared" si="38"/>
        <v>0</v>
      </c>
      <c r="V445" s="166">
        <f t="shared" si="38"/>
        <v>0</v>
      </c>
      <c r="W445" s="166">
        <f t="shared" si="38"/>
        <v>0</v>
      </c>
      <c r="X445" s="166">
        <f t="shared" si="38"/>
        <v>0</v>
      </c>
      <c r="Y445" s="166">
        <f t="shared" si="38"/>
        <v>0</v>
      </c>
      <c r="Z445" s="7" t="s">
        <v>1654</v>
      </c>
      <c r="AA445" s="7" t="s">
        <v>72</v>
      </c>
      <c r="AB445" s="361" t="s">
        <v>72</v>
      </c>
      <c r="AC445" s="361" t="s">
        <v>72</v>
      </c>
      <c r="AD445" s="9" t="s">
        <v>72</v>
      </c>
      <c r="AE445" s="359" t="s">
        <v>72</v>
      </c>
      <c r="AF445" s="359" t="s">
        <v>72</v>
      </c>
    </row>
    <row r="446" spans="1:32" ht="43.2" outlineLevel="1" x14ac:dyDescent="0.25">
      <c r="A446" s="1028" t="s">
        <v>543</v>
      </c>
      <c r="B446" s="1029" t="s">
        <v>1193</v>
      </c>
      <c r="C446" s="800" t="s">
        <v>544</v>
      </c>
      <c r="D446" s="46" t="s">
        <v>1009</v>
      </c>
      <c r="E446" s="75" t="s">
        <v>4</v>
      </c>
      <c r="F446" s="883" t="s">
        <v>4</v>
      </c>
      <c r="G446" s="148">
        <v>7804</v>
      </c>
      <c r="H446" s="147">
        <v>1493.6544699999999</v>
      </c>
      <c r="I446" s="1030">
        <v>2695.3075100000001</v>
      </c>
      <c r="J446" s="1031">
        <v>0</v>
      </c>
      <c r="K446" s="1032">
        <v>2695.3075100000001</v>
      </c>
      <c r="L446" s="806">
        <f>O446-K446</f>
        <v>0</v>
      </c>
      <c r="M446" s="148">
        <v>6310.3455300000005</v>
      </c>
      <c r="N446" s="794">
        <v>-3615.03802</v>
      </c>
      <c r="O446" s="794">
        <f t="shared" si="31"/>
        <v>2695.3075100000005</v>
      </c>
      <c r="P446" s="802">
        <v>3615.03802</v>
      </c>
      <c r="Q446" s="1034">
        <v>0</v>
      </c>
      <c r="R446" s="803">
        <v>0</v>
      </c>
      <c r="S446" s="1035">
        <v>0</v>
      </c>
      <c r="T446" s="806">
        <v>0</v>
      </c>
      <c r="U446" s="803">
        <v>0</v>
      </c>
      <c r="V446" s="1032">
        <v>0</v>
      </c>
      <c r="W446" s="1032">
        <v>0</v>
      </c>
      <c r="X446" s="1035">
        <v>0</v>
      </c>
      <c r="Y446" s="1033">
        <v>0</v>
      </c>
      <c r="Z446" s="1036" t="s">
        <v>1870</v>
      </c>
      <c r="AA446" s="46" t="s">
        <v>8</v>
      </c>
      <c r="AB446" s="113" t="s">
        <v>1236</v>
      </c>
      <c r="AC446" s="113" t="s">
        <v>80</v>
      </c>
      <c r="AD446" s="113" t="s">
        <v>89</v>
      </c>
      <c r="AE446" s="883" t="s">
        <v>75</v>
      </c>
      <c r="AF446" s="883" t="s">
        <v>646</v>
      </c>
    </row>
    <row r="447" spans="1:32" ht="29.4" outlineLevel="1" thickBot="1" x14ac:dyDescent="0.3">
      <c r="A447" s="19" t="s">
        <v>545</v>
      </c>
      <c r="B447" s="1752" t="s">
        <v>1382</v>
      </c>
      <c r="C447" s="1817" t="s">
        <v>546</v>
      </c>
      <c r="D447" s="1661" t="s">
        <v>1009</v>
      </c>
      <c r="E447" s="1662" t="s">
        <v>4</v>
      </c>
      <c r="F447" s="1663" t="s">
        <v>4</v>
      </c>
      <c r="G447" s="1303">
        <v>13300</v>
      </c>
      <c r="H447" s="1532">
        <v>0</v>
      </c>
      <c r="I447" s="1304">
        <v>13300</v>
      </c>
      <c r="J447" s="1305">
        <v>0</v>
      </c>
      <c r="K447" s="1379">
        <v>13300</v>
      </c>
      <c r="L447" s="1307">
        <f>O447-K447</f>
        <v>0</v>
      </c>
      <c r="M447" s="1303">
        <v>13300</v>
      </c>
      <c r="N447" s="179">
        <v>0</v>
      </c>
      <c r="O447" s="1818">
        <f t="shared" si="31"/>
        <v>13300</v>
      </c>
      <c r="P447" s="1308">
        <v>0</v>
      </c>
      <c r="Q447" s="1377">
        <v>0</v>
      </c>
      <c r="R447" s="1306">
        <v>0</v>
      </c>
      <c r="S447" s="2133">
        <v>0</v>
      </c>
      <c r="T447" s="1307">
        <v>0</v>
      </c>
      <c r="U447" s="1306">
        <v>0</v>
      </c>
      <c r="V447" s="1379">
        <v>0</v>
      </c>
      <c r="W447" s="1379">
        <v>0</v>
      </c>
      <c r="X447" s="2133">
        <v>0</v>
      </c>
      <c r="Y447" s="2163">
        <v>0</v>
      </c>
      <c r="Z447" s="2494" t="s">
        <v>1046</v>
      </c>
      <c r="AA447" s="1755" t="s">
        <v>83</v>
      </c>
      <c r="AB447" s="2136" t="s">
        <v>409</v>
      </c>
      <c r="AC447" s="2136" t="s">
        <v>80</v>
      </c>
      <c r="AD447" s="2136" t="s">
        <v>89</v>
      </c>
      <c r="AE447" s="1845" t="s">
        <v>181</v>
      </c>
      <c r="AF447" s="1845" t="s">
        <v>646</v>
      </c>
    </row>
    <row r="448" spans="1:32" s="420" customFormat="1" ht="31.8" outlineLevel="1" thickBot="1" x14ac:dyDescent="0.3">
      <c r="A448" s="562" t="s">
        <v>1495</v>
      </c>
      <c r="B448" s="919" t="s">
        <v>75</v>
      </c>
      <c r="C448" s="920" t="s">
        <v>1485</v>
      </c>
      <c r="D448" s="67" t="s">
        <v>1056</v>
      </c>
      <c r="E448" s="137" t="s">
        <v>4</v>
      </c>
      <c r="F448" s="286" t="s">
        <v>4</v>
      </c>
      <c r="G448" s="472">
        <v>29000</v>
      </c>
      <c r="H448" s="922">
        <v>0</v>
      </c>
      <c r="I448" s="923">
        <v>0</v>
      </c>
      <c r="J448" s="924">
        <v>6245.38</v>
      </c>
      <c r="K448" s="560">
        <v>0</v>
      </c>
      <c r="L448" s="1037">
        <f>O448-K448</f>
        <v>6245.380000000001</v>
      </c>
      <c r="M448" s="472">
        <v>29000</v>
      </c>
      <c r="N448" s="1156">
        <f>-22758.62+4</f>
        <v>-22754.62</v>
      </c>
      <c r="O448" s="472">
        <f t="shared" si="31"/>
        <v>6245.380000000001</v>
      </c>
      <c r="P448" s="520">
        <f>22758.62-4</f>
        <v>22754.62</v>
      </c>
      <c r="Q448" s="573">
        <v>0</v>
      </c>
      <c r="R448" s="473">
        <v>0</v>
      </c>
      <c r="S448" s="572">
        <v>0</v>
      </c>
      <c r="T448" s="573">
        <v>0</v>
      </c>
      <c r="U448" s="473">
        <v>0</v>
      </c>
      <c r="V448" s="560">
        <v>0</v>
      </c>
      <c r="W448" s="560">
        <v>0</v>
      </c>
      <c r="X448" s="560">
        <v>0</v>
      </c>
      <c r="Y448" s="520">
        <v>0</v>
      </c>
      <c r="Z448" s="322" t="s">
        <v>1970</v>
      </c>
      <c r="AA448" s="435" t="s">
        <v>8</v>
      </c>
      <c r="AB448" s="194" t="s">
        <v>1236</v>
      </c>
      <c r="AC448" s="194" t="s">
        <v>80</v>
      </c>
      <c r="AD448" s="194" t="s">
        <v>89</v>
      </c>
      <c r="AE448" s="286" t="s">
        <v>930</v>
      </c>
      <c r="AF448" s="286" t="s">
        <v>646</v>
      </c>
    </row>
    <row r="449" spans="1:32" s="420" customFormat="1" ht="28.8" outlineLevel="1" x14ac:dyDescent="0.25">
      <c r="A449" s="225" t="s">
        <v>1496</v>
      </c>
      <c r="B449" s="1664" t="s">
        <v>75</v>
      </c>
      <c r="C449" s="1665" t="s">
        <v>1497</v>
      </c>
      <c r="D449" s="1642" t="s">
        <v>1657</v>
      </c>
      <c r="E449" s="1643" t="s">
        <v>4</v>
      </c>
      <c r="F449" s="1644" t="s">
        <v>4</v>
      </c>
      <c r="G449" s="1192">
        <v>35000</v>
      </c>
      <c r="H449" s="1181">
        <v>0</v>
      </c>
      <c r="I449" s="1182">
        <v>0</v>
      </c>
      <c r="J449" s="1188">
        <v>0</v>
      </c>
      <c r="K449" s="1184">
        <v>0</v>
      </c>
      <c r="L449" s="1533">
        <f>O449-K449</f>
        <v>35000</v>
      </c>
      <c r="M449" s="1192">
        <v>35000</v>
      </c>
      <c r="N449" s="234">
        <v>0</v>
      </c>
      <c r="O449" s="1192">
        <f t="shared" si="31"/>
        <v>35000</v>
      </c>
      <c r="P449" s="1618">
        <v>0</v>
      </c>
      <c r="Q449" s="1238">
        <v>0</v>
      </c>
      <c r="R449" s="1237">
        <v>0</v>
      </c>
      <c r="S449" s="1999">
        <v>0</v>
      </c>
      <c r="T449" s="1238">
        <v>0</v>
      </c>
      <c r="U449" s="1237">
        <v>0</v>
      </c>
      <c r="V449" s="1184">
        <v>0</v>
      </c>
      <c r="W449" s="1184">
        <v>0</v>
      </c>
      <c r="X449" s="1184">
        <v>0</v>
      </c>
      <c r="Y449" s="1618">
        <v>0</v>
      </c>
      <c r="Z449" s="2495" t="s">
        <v>1498</v>
      </c>
      <c r="AA449" s="2004" t="s">
        <v>1499</v>
      </c>
      <c r="AB449" s="2002" t="s">
        <v>1073</v>
      </c>
      <c r="AC449" s="2002" t="s">
        <v>79</v>
      </c>
      <c r="AD449" s="2002" t="s">
        <v>89</v>
      </c>
      <c r="AE449" s="1644" t="s">
        <v>166</v>
      </c>
      <c r="AF449" s="1644" t="s">
        <v>646</v>
      </c>
    </row>
    <row r="450" spans="1:32" outlineLevel="1" thickBot="1" x14ac:dyDescent="0.3">
      <c r="A450" s="20" t="s">
        <v>84</v>
      </c>
      <c r="B450" s="1947" t="s">
        <v>84</v>
      </c>
      <c r="C450" s="1948" t="s">
        <v>84</v>
      </c>
      <c r="D450" s="1949" t="s">
        <v>84</v>
      </c>
      <c r="E450" s="1667" t="s">
        <v>84</v>
      </c>
      <c r="F450" s="203" t="s">
        <v>84</v>
      </c>
      <c r="G450" s="972" t="s">
        <v>84</v>
      </c>
      <c r="H450" s="973" t="s">
        <v>84</v>
      </c>
      <c r="I450" s="974" t="s">
        <v>84</v>
      </c>
      <c r="J450" s="975" t="s">
        <v>84</v>
      </c>
      <c r="K450" s="86" t="s">
        <v>84</v>
      </c>
      <c r="L450" s="410" t="s">
        <v>84</v>
      </c>
      <c r="M450" s="38" t="s">
        <v>84</v>
      </c>
      <c r="N450" s="79" t="s">
        <v>84</v>
      </c>
      <c r="O450" s="152" t="s">
        <v>84</v>
      </c>
      <c r="P450" s="38" t="s">
        <v>84</v>
      </c>
      <c r="Q450" s="83" t="s">
        <v>84</v>
      </c>
      <c r="R450" s="120" t="s">
        <v>84</v>
      </c>
      <c r="S450" s="84" t="s">
        <v>84</v>
      </c>
      <c r="T450" s="83" t="s">
        <v>84</v>
      </c>
      <c r="U450" s="120" t="s">
        <v>84</v>
      </c>
      <c r="V450" s="86" t="s">
        <v>84</v>
      </c>
      <c r="W450" s="86" t="s">
        <v>84</v>
      </c>
      <c r="X450" s="84" t="s">
        <v>84</v>
      </c>
      <c r="Y450" s="79" t="s">
        <v>84</v>
      </c>
      <c r="Z450" s="38" t="s">
        <v>84</v>
      </c>
      <c r="AA450" s="2021" t="s">
        <v>84</v>
      </c>
      <c r="AB450" s="20" t="s">
        <v>84</v>
      </c>
      <c r="AC450" s="20" t="s">
        <v>84</v>
      </c>
      <c r="AD450" s="20" t="s">
        <v>84</v>
      </c>
      <c r="AE450" s="203" t="s">
        <v>84</v>
      </c>
      <c r="AF450" s="203" t="s">
        <v>84</v>
      </c>
    </row>
    <row r="451" spans="1:32" s="967" customFormat="1" ht="18" thickBot="1" x14ac:dyDescent="0.3">
      <c r="A451" s="272" t="s">
        <v>295</v>
      </c>
      <c r="B451" s="273"/>
      <c r="C451" s="279"/>
      <c r="D451" s="7" t="s">
        <v>72</v>
      </c>
      <c r="E451" s="384" t="s">
        <v>72</v>
      </c>
      <c r="F451" s="359" t="s">
        <v>72</v>
      </c>
      <c r="G451" s="166">
        <f>SUM(G446:G450)</f>
        <v>85104</v>
      </c>
      <c r="H451" s="166">
        <f t="shared" ref="H451:Y451" si="39">SUM(H446:H450)</f>
        <v>1493.6544699999999</v>
      </c>
      <c r="I451" s="166">
        <f t="shared" si="39"/>
        <v>15995.307510000001</v>
      </c>
      <c r="J451" s="166">
        <f t="shared" si="39"/>
        <v>6245.38</v>
      </c>
      <c r="K451" s="166">
        <f t="shared" si="39"/>
        <v>15995.307510000001</v>
      </c>
      <c r="L451" s="166">
        <f t="shared" si="39"/>
        <v>41245.380000000005</v>
      </c>
      <c r="M451" s="166">
        <f t="shared" si="39"/>
        <v>83610.345529999991</v>
      </c>
      <c r="N451" s="166">
        <f t="shared" si="39"/>
        <v>-26369.658019999999</v>
      </c>
      <c r="O451" s="166">
        <f t="shared" si="31"/>
        <v>57240.687509999989</v>
      </c>
      <c r="P451" s="166">
        <f t="shared" si="39"/>
        <v>26369.658019999999</v>
      </c>
      <c r="Q451" s="166">
        <f t="shared" si="39"/>
        <v>0</v>
      </c>
      <c r="R451" s="166">
        <f t="shared" si="39"/>
        <v>0</v>
      </c>
      <c r="S451" s="166">
        <f t="shared" si="39"/>
        <v>0</v>
      </c>
      <c r="T451" s="167">
        <f t="shared" si="39"/>
        <v>0</v>
      </c>
      <c r="U451" s="166">
        <f t="shared" si="39"/>
        <v>0</v>
      </c>
      <c r="V451" s="166">
        <f t="shared" si="39"/>
        <v>0</v>
      </c>
      <c r="W451" s="166">
        <f t="shared" si="39"/>
        <v>0</v>
      </c>
      <c r="X451" s="166">
        <f t="shared" si="39"/>
        <v>0</v>
      </c>
      <c r="Y451" s="166">
        <f t="shared" si="39"/>
        <v>0</v>
      </c>
      <c r="Z451" s="7" t="s">
        <v>1959</v>
      </c>
      <c r="AA451" s="7" t="s">
        <v>72</v>
      </c>
      <c r="AB451" s="270" t="s">
        <v>72</v>
      </c>
      <c r="AC451" s="363" t="s">
        <v>72</v>
      </c>
      <c r="AD451" s="7" t="s">
        <v>72</v>
      </c>
      <c r="AE451" s="359" t="s">
        <v>72</v>
      </c>
      <c r="AF451" s="359" t="s">
        <v>72</v>
      </c>
    </row>
    <row r="452" spans="1:32" ht="27" outlineLevel="1" thickBot="1" x14ac:dyDescent="0.3">
      <c r="A452" s="610" t="s">
        <v>221</v>
      </c>
      <c r="B452" s="611" t="s">
        <v>342</v>
      </c>
      <c r="C452" s="554" t="s">
        <v>51</v>
      </c>
      <c r="D452" s="56" t="s">
        <v>1039</v>
      </c>
      <c r="E452" s="983" t="s">
        <v>99</v>
      </c>
      <c r="F452" s="969" t="s">
        <v>99</v>
      </c>
      <c r="G452" s="612">
        <v>14000</v>
      </c>
      <c r="H452" s="613">
        <v>0</v>
      </c>
      <c r="I452" s="1003">
        <v>0</v>
      </c>
      <c r="J452" s="1004">
        <v>0</v>
      </c>
      <c r="K452" s="556">
        <v>0</v>
      </c>
      <c r="L452" s="605">
        <f t="shared" ref="L452:L471" si="40">O452-K452</f>
        <v>0</v>
      </c>
      <c r="M452" s="606">
        <v>0</v>
      </c>
      <c r="N452" s="559">
        <v>0</v>
      </c>
      <c r="O452" s="559">
        <f t="shared" si="31"/>
        <v>0</v>
      </c>
      <c r="P452" s="614">
        <v>0</v>
      </c>
      <c r="Q452" s="615">
        <v>14000</v>
      </c>
      <c r="R452" s="660">
        <v>0</v>
      </c>
      <c r="S452" s="661">
        <v>0</v>
      </c>
      <c r="T452" s="662">
        <v>0</v>
      </c>
      <c r="U452" s="643">
        <v>0</v>
      </c>
      <c r="V452" s="739">
        <v>0</v>
      </c>
      <c r="W452" s="739">
        <v>0</v>
      </c>
      <c r="X452" s="739">
        <v>0</v>
      </c>
      <c r="Y452" s="740">
        <v>0</v>
      </c>
      <c r="Z452" s="143" t="s">
        <v>1689</v>
      </c>
      <c r="AA452" s="300" t="s">
        <v>8</v>
      </c>
      <c r="AB452" s="608" t="s">
        <v>1236</v>
      </c>
      <c r="AC452" s="608" t="s">
        <v>79</v>
      </c>
      <c r="AD452" s="331" t="s">
        <v>91</v>
      </c>
      <c r="AE452" s="1005" t="s">
        <v>167</v>
      </c>
      <c r="AF452" s="1005" t="s">
        <v>657</v>
      </c>
    </row>
    <row r="453" spans="1:32" ht="26.4" outlineLevel="1" x14ac:dyDescent="0.25">
      <c r="A453" s="446" t="s">
        <v>142</v>
      </c>
      <c r="B453" s="447" t="s">
        <v>506</v>
      </c>
      <c r="C453" s="616" t="s">
        <v>144</v>
      </c>
      <c r="D453" s="40" t="s">
        <v>1040</v>
      </c>
      <c r="E453" s="52" t="s">
        <v>4</v>
      </c>
      <c r="F453" s="40" t="s">
        <v>143</v>
      </c>
      <c r="G453" s="617">
        <v>55000</v>
      </c>
      <c r="H453" s="618">
        <v>508.2</v>
      </c>
      <c r="I453" s="619">
        <v>0</v>
      </c>
      <c r="J453" s="620">
        <v>0</v>
      </c>
      <c r="K453" s="449">
        <v>0</v>
      </c>
      <c r="L453" s="621">
        <f t="shared" si="40"/>
        <v>2491.8000000000029</v>
      </c>
      <c r="M453" s="135">
        <v>4491.8000000000029</v>
      </c>
      <c r="N453" s="622">
        <v>-2000</v>
      </c>
      <c r="O453" s="622">
        <f t="shared" si="31"/>
        <v>2491.8000000000029</v>
      </c>
      <c r="P453" s="61">
        <v>12000</v>
      </c>
      <c r="Q453" s="58">
        <v>40000</v>
      </c>
      <c r="R453" s="741">
        <v>0</v>
      </c>
      <c r="S453" s="742">
        <v>0</v>
      </c>
      <c r="T453" s="743">
        <v>0</v>
      </c>
      <c r="U453" s="619">
        <v>55000</v>
      </c>
      <c r="V453" s="690">
        <v>484</v>
      </c>
      <c r="W453" s="690">
        <v>0</v>
      </c>
      <c r="X453" s="744">
        <v>2491.8000000000029</v>
      </c>
      <c r="Y453" s="689">
        <v>52024.2</v>
      </c>
      <c r="Z453" s="41" t="s">
        <v>1690</v>
      </c>
      <c r="AA453" s="39" t="s">
        <v>6</v>
      </c>
      <c r="AB453" s="623" t="s">
        <v>533</v>
      </c>
      <c r="AC453" s="623" t="s">
        <v>79</v>
      </c>
      <c r="AD453" s="174" t="s">
        <v>89</v>
      </c>
      <c r="AE453" s="948" t="s">
        <v>560</v>
      </c>
      <c r="AF453" s="948" t="s">
        <v>657</v>
      </c>
    </row>
    <row r="454" spans="1:32" ht="53.4" outlineLevel="1" thickBot="1" x14ac:dyDescent="0.3">
      <c r="A454" s="624" t="s">
        <v>145</v>
      </c>
      <c r="B454" s="625" t="s">
        <v>399</v>
      </c>
      <c r="C454" s="626" t="s">
        <v>146</v>
      </c>
      <c r="D454" s="430" t="s">
        <v>1040</v>
      </c>
      <c r="E454" s="204" t="s">
        <v>127</v>
      </c>
      <c r="F454" s="430" t="s">
        <v>127</v>
      </c>
      <c r="G454" s="627">
        <f>15000 + 17000 +86883.3</f>
        <v>118883.3</v>
      </c>
      <c r="H454" s="628">
        <v>2671.6149999999998</v>
      </c>
      <c r="I454" s="629">
        <v>0</v>
      </c>
      <c r="J454" s="630">
        <v>0</v>
      </c>
      <c r="K454" s="631">
        <v>0</v>
      </c>
      <c r="L454" s="632">
        <f t="shared" si="40"/>
        <v>4328.3849999999984</v>
      </c>
      <c r="M454" s="633">
        <v>29328.384999999998</v>
      </c>
      <c r="N454" s="634">
        <v>-25000</v>
      </c>
      <c r="O454" s="634">
        <f t="shared" si="31"/>
        <v>4328.3849999999984</v>
      </c>
      <c r="P454" s="635">
        <v>85000</v>
      </c>
      <c r="Q454" s="636">
        <v>26883.3</v>
      </c>
      <c r="R454" s="745">
        <v>0</v>
      </c>
      <c r="S454" s="746">
        <v>0</v>
      </c>
      <c r="T454" s="747">
        <v>0</v>
      </c>
      <c r="U454" s="629">
        <v>32000</v>
      </c>
      <c r="V454" s="748">
        <v>2671.6150000000002</v>
      </c>
      <c r="W454" s="748">
        <v>0</v>
      </c>
      <c r="X454" s="1160">
        <v>4328.3850000000002</v>
      </c>
      <c r="Y454" s="1161">
        <v>25000</v>
      </c>
      <c r="Z454" s="323" t="s">
        <v>1691</v>
      </c>
      <c r="AA454" s="637" t="s">
        <v>10</v>
      </c>
      <c r="AB454" s="638" t="s">
        <v>1747</v>
      </c>
      <c r="AC454" s="638" t="s">
        <v>80</v>
      </c>
      <c r="AD454" s="639" t="s">
        <v>90</v>
      </c>
      <c r="AE454" s="640" t="s">
        <v>166</v>
      </c>
      <c r="AF454" s="640" t="s">
        <v>657</v>
      </c>
    </row>
    <row r="455" spans="1:32" ht="31.8" outlineLevel="1" thickBot="1" x14ac:dyDescent="0.3">
      <c r="A455" s="602" t="s">
        <v>235</v>
      </c>
      <c r="B455" s="602" t="s">
        <v>561</v>
      </c>
      <c r="C455" s="604" t="s">
        <v>354</v>
      </c>
      <c r="D455" s="143" t="s">
        <v>1025</v>
      </c>
      <c r="E455" s="136" t="s">
        <v>48</v>
      </c>
      <c r="F455" s="143" t="s">
        <v>48</v>
      </c>
      <c r="G455" s="641">
        <v>200000</v>
      </c>
      <c r="H455" s="642">
        <v>1681.2950000000001</v>
      </c>
      <c r="I455" s="643">
        <v>0</v>
      </c>
      <c r="J455" s="644">
        <v>3.0249999999999999</v>
      </c>
      <c r="K455" s="475">
        <v>0</v>
      </c>
      <c r="L455" s="645">
        <f t="shared" si="40"/>
        <v>28318.704999999958</v>
      </c>
      <c r="M455" s="606">
        <v>58318.704999999958</v>
      </c>
      <c r="N455" s="559">
        <v>-30000</v>
      </c>
      <c r="O455" s="559">
        <f t="shared" si="31"/>
        <v>28318.704999999958</v>
      </c>
      <c r="P455" s="614">
        <v>170000</v>
      </c>
      <c r="Q455" s="615">
        <v>0</v>
      </c>
      <c r="R455" s="660">
        <v>0</v>
      </c>
      <c r="S455" s="661">
        <v>0</v>
      </c>
      <c r="T455" s="662">
        <v>0</v>
      </c>
      <c r="U455" s="643">
        <v>168045</v>
      </c>
      <c r="V455" s="739">
        <v>0</v>
      </c>
      <c r="W455" s="739">
        <v>3.0249999999999999</v>
      </c>
      <c r="X455" s="749">
        <v>28318.705000000002</v>
      </c>
      <c r="Y455" s="740">
        <v>139726.29500000001</v>
      </c>
      <c r="Z455" s="143" t="s">
        <v>1692</v>
      </c>
      <c r="AA455" s="300" t="s">
        <v>10</v>
      </c>
      <c r="AB455" s="608" t="s">
        <v>1447</v>
      </c>
      <c r="AC455" s="646" t="s">
        <v>80</v>
      </c>
      <c r="AD455" s="300">
        <v>1</v>
      </c>
      <c r="AE455" s="969" t="s">
        <v>168</v>
      </c>
      <c r="AF455" s="969" t="s">
        <v>657</v>
      </c>
    </row>
    <row r="456" spans="1:32" ht="27" outlineLevel="1" thickBot="1" x14ac:dyDescent="0.3">
      <c r="A456" s="159" t="s">
        <v>251</v>
      </c>
      <c r="B456" s="159" t="s">
        <v>1179</v>
      </c>
      <c r="C456" s="1654" t="s">
        <v>570</v>
      </c>
      <c r="D456" s="1655" t="s">
        <v>1027</v>
      </c>
      <c r="E456" s="1656" t="s">
        <v>240</v>
      </c>
      <c r="F456" s="1655" t="s">
        <v>240</v>
      </c>
      <c r="G456" s="1950">
        <f xml:space="preserve"> 2500 + 1870 + 2214.4266 + 500 - 91.70278</f>
        <v>6992.7238200000002</v>
      </c>
      <c r="H456" s="1534">
        <v>588.59438</v>
      </c>
      <c r="I456" s="1535">
        <v>576.37616000000003</v>
      </c>
      <c r="J456" s="1536">
        <v>0</v>
      </c>
      <c r="K456" s="1210">
        <v>576.37616000000003</v>
      </c>
      <c r="L456" s="1537">
        <f t="shared" si="40"/>
        <v>0</v>
      </c>
      <c r="M456" s="1212">
        <v>576.37615999999969</v>
      </c>
      <c r="N456" s="189">
        <v>0</v>
      </c>
      <c r="O456" s="1622">
        <f t="shared" si="31"/>
        <v>576.37615999999969</v>
      </c>
      <c r="P456" s="2496">
        <v>0</v>
      </c>
      <c r="Q456" s="2497">
        <v>0</v>
      </c>
      <c r="R456" s="2498">
        <v>5827.7532799999999</v>
      </c>
      <c r="S456" s="2499">
        <v>0</v>
      </c>
      <c r="T456" s="2500">
        <v>0</v>
      </c>
      <c r="U456" s="1535">
        <v>0</v>
      </c>
      <c r="V456" s="2501">
        <v>0</v>
      </c>
      <c r="W456" s="2501">
        <v>0</v>
      </c>
      <c r="X456" s="2501">
        <v>0</v>
      </c>
      <c r="Y456" s="2502">
        <v>0</v>
      </c>
      <c r="Z456" s="1655" t="s">
        <v>72</v>
      </c>
      <c r="AA456" s="2503" t="s">
        <v>83</v>
      </c>
      <c r="AB456" s="2504" t="s">
        <v>986</v>
      </c>
      <c r="AC456" s="2505" t="s">
        <v>80</v>
      </c>
      <c r="AD456" s="2503">
        <v>1</v>
      </c>
      <c r="AE456" s="1657" t="s">
        <v>166</v>
      </c>
      <c r="AF456" s="1657"/>
    </row>
    <row r="457" spans="1:32" ht="27" outlineLevel="1" thickBot="1" x14ac:dyDescent="0.3">
      <c r="A457" s="195" t="s">
        <v>282</v>
      </c>
      <c r="B457" s="195" t="s">
        <v>670</v>
      </c>
      <c r="C457" s="277" t="s">
        <v>283</v>
      </c>
      <c r="D457" s="78" t="s">
        <v>1028</v>
      </c>
      <c r="E457" s="1667" t="s">
        <v>281</v>
      </c>
      <c r="F457" s="78" t="s">
        <v>281</v>
      </c>
      <c r="G457" s="1793">
        <f>40000-5750+7750</f>
        <v>42000</v>
      </c>
      <c r="H457" s="1538">
        <v>23950.88292</v>
      </c>
      <c r="I457" s="1539">
        <v>7588.9428699999999</v>
      </c>
      <c r="J457" s="1540">
        <v>5459.4855200000002</v>
      </c>
      <c r="K457" s="1222">
        <v>7588.9428699999999</v>
      </c>
      <c r="L457" s="1541">
        <f t="shared" si="40"/>
        <v>5460.1742100000001</v>
      </c>
      <c r="M457" s="152">
        <v>13049.11708</v>
      </c>
      <c r="N457" s="319">
        <v>0</v>
      </c>
      <c r="O457" s="1613">
        <f t="shared" si="31"/>
        <v>13049.11708</v>
      </c>
      <c r="P457" s="2243">
        <v>0</v>
      </c>
      <c r="Q457" s="2244">
        <v>0</v>
      </c>
      <c r="R457" s="2185">
        <v>5000</v>
      </c>
      <c r="S457" s="2186">
        <v>0</v>
      </c>
      <c r="T457" s="2187">
        <v>0</v>
      </c>
      <c r="U457" s="1539">
        <v>0</v>
      </c>
      <c r="V457" s="2182">
        <v>0</v>
      </c>
      <c r="W457" s="2182">
        <v>0</v>
      </c>
      <c r="X457" s="2183">
        <v>0</v>
      </c>
      <c r="Y457" s="2506">
        <v>0</v>
      </c>
      <c r="Z457" s="38" t="s">
        <v>72</v>
      </c>
      <c r="AA457" s="1949" t="s">
        <v>10</v>
      </c>
      <c r="AB457" s="2042" t="s">
        <v>382</v>
      </c>
      <c r="AC457" s="2507" t="s">
        <v>80</v>
      </c>
      <c r="AD457" s="2508">
        <v>1</v>
      </c>
      <c r="AE457" s="203" t="s">
        <v>180</v>
      </c>
      <c r="AF457" s="203" t="s">
        <v>657</v>
      </c>
    </row>
    <row r="458" spans="1:32" ht="26.4" outlineLevel="1" x14ac:dyDescent="0.25">
      <c r="A458" s="225" t="s">
        <v>355</v>
      </c>
      <c r="B458" s="225" t="s">
        <v>671</v>
      </c>
      <c r="C458" s="1665" t="s">
        <v>356</v>
      </c>
      <c r="D458" s="1642" t="s">
        <v>1693</v>
      </c>
      <c r="E458" s="1643" t="s">
        <v>371</v>
      </c>
      <c r="F458" s="1642" t="s">
        <v>371</v>
      </c>
      <c r="G458" s="1801">
        <f>5000 + 600</f>
        <v>5600</v>
      </c>
      <c r="H458" s="1542">
        <v>0</v>
      </c>
      <c r="I458" s="1543">
        <v>128</v>
      </c>
      <c r="J458" s="1544">
        <v>555.73414000000002</v>
      </c>
      <c r="K458" s="1184">
        <v>128</v>
      </c>
      <c r="L458" s="1185">
        <f t="shared" si="40"/>
        <v>5472</v>
      </c>
      <c r="M458" s="1169">
        <v>5600</v>
      </c>
      <c r="N458" s="234">
        <v>0</v>
      </c>
      <c r="O458" s="1617">
        <f t="shared" si="31"/>
        <v>5600</v>
      </c>
      <c r="P458" s="2415">
        <v>0</v>
      </c>
      <c r="Q458" s="2509">
        <v>0</v>
      </c>
      <c r="R458" s="2417">
        <v>0</v>
      </c>
      <c r="S458" s="2418">
        <v>0</v>
      </c>
      <c r="T458" s="2416">
        <v>0</v>
      </c>
      <c r="U458" s="1543">
        <v>0</v>
      </c>
      <c r="V458" s="1576">
        <v>0</v>
      </c>
      <c r="W458" s="1576">
        <v>0</v>
      </c>
      <c r="X458" s="1576">
        <v>0</v>
      </c>
      <c r="Y458" s="1609">
        <v>0</v>
      </c>
      <c r="Z458" s="2002" t="s">
        <v>72</v>
      </c>
      <c r="AA458" s="2510" t="s">
        <v>10</v>
      </c>
      <c r="AB458" s="2040" t="s">
        <v>382</v>
      </c>
      <c r="AC458" s="2511" t="s">
        <v>80</v>
      </c>
      <c r="AD458" s="2512">
        <v>2</v>
      </c>
      <c r="AE458" s="1644" t="s">
        <v>183</v>
      </c>
      <c r="AF458" s="1644" t="s">
        <v>657</v>
      </c>
    </row>
    <row r="459" spans="1:32" ht="26.4" outlineLevel="1" x14ac:dyDescent="0.25">
      <c r="A459" s="390" t="s">
        <v>357</v>
      </c>
      <c r="B459" s="18" t="s">
        <v>629</v>
      </c>
      <c r="C459" s="1951" t="s">
        <v>358</v>
      </c>
      <c r="D459" s="1742" t="s">
        <v>1693</v>
      </c>
      <c r="E459" s="1748" t="s">
        <v>252</v>
      </c>
      <c r="F459" s="1742" t="s">
        <v>252</v>
      </c>
      <c r="G459" s="1952">
        <f>10000 -5900</f>
        <v>4100</v>
      </c>
      <c r="H459" s="1545">
        <v>587.13915999999995</v>
      </c>
      <c r="I459" s="1546">
        <v>2098.1409100000001</v>
      </c>
      <c r="J459" s="1547">
        <v>1414.71993</v>
      </c>
      <c r="K459" s="1548">
        <v>2098.1409100000001</v>
      </c>
      <c r="L459" s="1331">
        <f t="shared" si="40"/>
        <v>1414.7199299999993</v>
      </c>
      <c r="M459" s="1276">
        <v>3512.8608399999994</v>
      </c>
      <c r="N459" s="355">
        <v>0</v>
      </c>
      <c r="O459" s="2095">
        <f t="shared" si="31"/>
        <v>3512.8608399999994</v>
      </c>
      <c r="P459" s="2373">
        <v>0</v>
      </c>
      <c r="Q459" s="2513">
        <v>0</v>
      </c>
      <c r="R459" s="2514">
        <v>0</v>
      </c>
      <c r="S459" s="2515">
        <v>0</v>
      </c>
      <c r="T459" s="2516">
        <v>0</v>
      </c>
      <c r="U459" s="1546">
        <v>0</v>
      </c>
      <c r="V459" s="1570">
        <v>0</v>
      </c>
      <c r="W459" s="1570">
        <v>0</v>
      </c>
      <c r="X459" s="1570">
        <v>0</v>
      </c>
      <c r="Y459" s="2517">
        <v>0</v>
      </c>
      <c r="Z459" s="1742" t="s">
        <v>72</v>
      </c>
      <c r="AA459" s="2518" t="s">
        <v>83</v>
      </c>
      <c r="AB459" s="2519" t="s">
        <v>747</v>
      </c>
      <c r="AC459" s="2520" t="s">
        <v>80</v>
      </c>
      <c r="AD459" s="2521">
        <v>1</v>
      </c>
      <c r="AE459" s="2162" t="s">
        <v>181</v>
      </c>
      <c r="AF459" s="2162" t="s">
        <v>657</v>
      </c>
    </row>
    <row r="460" spans="1:32" ht="26.4" outlineLevel="1" x14ac:dyDescent="0.25">
      <c r="A460" s="325" t="s">
        <v>359</v>
      </c>
      <c r="B460" s="446" t="s">
        <v>673</v>
      </c>
      <c r="C460" s="616" t="s">
        <v>361</v>
      </c>
      <c r="D460" s="40" t="s">
        <v>1693</v>
      </c>
      <c r="E460" s="52" t="s">
        <v>360</v>
      </c>
      <c r="F460" s="40" t="s">
        <v>360</v>
      </c>
      <c r="G460" s="617">
        <v>300</v>
      </c>
      <c r="H460" s="618">
        <v>0</v>
      </c>
      <c r="I460" s="619">
        <v>0</v>
      </c>
      <c r="J460" s="620">
        <v>0</v>
      </c>
      <c r="K460" s="454">
        <v>0</v>
      </c>
      <c r="L460" s="647">
        <f t="shared" si="40"/>
        <v>0</v>
      </c>
      <c r="M460" s="135">
        <v>300</v>
      </c>
      <c r="N460" s="452">
        <v>-300</v>
      </c>
      <c r="O460" s="622">
        <f t="shared" si="31"/>
        <v>0</v>
      </c>
      <c r="P460" s="61">
        <v>300</v>
      </c>
      <c r="Q460" s="58">
        <v>0</v>
      </c>
      <c r="R460" s="741">
        <v>0</v>
      </c>
      <c r="S460" s="742">
        <v>0</v>
      </c>
      <c r="T460" s="743">
        <v>0</v>
      </c>
      <c r="U460" s="619">
        <v>0</v>
      </c>
      <c r="V460" s="690">
        <v>0</v>
      </c>
      <c r="W460" s="690">
        <v>0</v>
      </c>
      <c r="X460" s="690">
        <v>0</v>
      </c>
      <c r="Y460" s="689">
        <v>0</v>
      </c>
      <c r="Z460" s="40" t="s">
        <v>1694</v>
      </c>
      <c r="AA460" s="39" t="s">
        <v>8</v>
      </c>
      <c r="AB460" s="623" t="s">
        <v>533</v>
      </c>
      <c r="AC460" s="648" t="s">
        <v>79</v>
      </c>
      <c r="AD460" s="1006">
        <v>1</v>
      </c>
      <c r="AE460" s="948" t="s">
        <v>172</v>
      </c>
      <c r="AF460" s="948" t="s">
        <v>657</v>
      </c>
    </row>
    <row r="461" spans="1:32" ht="26.4" outlineLevel="1" x14ac:dyDescent="0.25">
      <c r="A461" s="325" t="s">
        <v>362</v>
      </c>
      <c r="B461" s="225" t="s">
        <v>674</v>
      </c>
      <c r="C461" s="1665" t="s">
        <v>364</v>
      </c>
      <c r="D461" s="1642" t="s">
        <v>1693</v>
      </c>
      <c r="E461" s="1643" t="s">
        <v>363</v>
      </c>
      <c r="F461" s="1642" t="s">
        <v>363</v>
      </c>
      <c r="G461" s="1801">
        <v>1000</v>
      </c>
      <c r="H461" s="1542">
        <v>0</v>
      </c>
      <c r="I461" s="1543">
        <v>0</v>
      </c>
      <c r="J461" s="1544">
        <v>0</v>
      </c>
      <c r="K461" s="1184">
        <v>0</v>
      </c>
      <c r="L461" s="1185">
        <f t="shared" si="40"/>
        <v>1000</v>
      </c>
      <c r="M461" s="1169">
        <v>1000</v>
      </c>
      <c r="N461" s="234">
        <v>0</v>
      </c>
      <c r="O461" s="1617">
        <f t="shared" si="31"/>
        <v>1000</v>
      </c>
      <c r="P461" s="2415">
        <v>0</v>
      </c>
      <c r="Q461" s="2509">
        <v>0</v>
      </c>
      <c r="R461" s="2417">
        <v>0</v>
      </c>
      <c r="S461" s="2418">
        <v>0</v>
      </c>
      <c r="T461" s="2416">
        <v>0</v>
      </c>
      <c r="U461" s="1543">
        <v>0</v>
      </c>
      <c r="V461" s="1576">
        <v>0</v>
      </c>
      <c r="W461" s="1576">
        <v>0</v>
      </c>
      <c r="X461" s="1576">
        <v>0</v>
      </c>
      <c r="Y461" s="1609">
        <v>0</v>
      </c>
      <c r="Z461" s="1642" t="s">
        <v>72</v>
      </c>
      <c r="AA461" s="2510" t="s">
        <v>10</v>
      </c>
      <c r="AB461" s="2040" t="s">
        <v>382</v>
      </c>
      <c r="AC461" s="2511" t="s">
        <v>80</v>
      </c>
      <c r="AD461" s="2512">
        <v>1</v>
      </c>
      <c r="AE461" s="1644" t="s">
        <v>178</v>
      </c>
      <c r="AF461" s="1644" t="s">
        <v>657</v>
      </c>
    </row>
    <row r="462" spans="1:32" ht="26.4" outlineLevel="1" x14ac:dyDescent="0.25">
      <c r="A462" s="390" t="s">
        <v>365</v>
      </c>
      <c r="B462" s="18" t="s">
        <v>472</v>
      </c>
      <c r="C462" s="1951" t="s">
        <v>366</v>
      </c>
      <c r="D462" s="1742" t="s">
        <v>1693</v>
      </c>
      <c r="E462" s="1748" t="s">
        <v>127</v>
      </c>
      <c r="F462" s="1742" t="s">
        <v>127</v>
      </c>
      <c r="G462" s="1952">
        <f>5500+1200+3200</f>
        <v>9900</v>
      </c>
      <c r="H462" s="1545">
        <v>4530.3463100000008</v>
      </c>
      <c r="I462" s="1546">
        <v>1535.7816800000001</v>
      </c>
      <c r="J462" s="1547">
        <v>3833.87201</v>
      </c>
      <c r="K462" s="1548">
        <v>1535.7816800000001</v>
      </c>
      <c r="L462" s="1331">
        <f t="shared" si="40"/>
        <v>3833.8720099999991</v>
      </c>
      <c r="M462" s="1276">
        <v>5369.6536899999992</v>
      </c>
      <c r="N462" s="355">
        <v>0</v>
      </c>
      <c r="O462" s="2095">
        <f t="shared" si="31"/>
        <v>5369.6536899999992</v>
      </c>
      <c r="P462" s="2373">
        <v>0</v>
      </c>
      <c r="Q462" s="2513">
        <v>0</v>
      </c>
      <c r="R462" s="2514">
        <v>0</v>
      </c>
      <c r="S462" s="2515">
        <v>0</v>
      </c>
      <c r="T462" s="2516">
        <v>0</v>
      </c>
      <c r="U462" s="1546">
        <v>0</v>
      </c>
      <c r="V462" s="1570">
        <v>0</v>
      </c>
      <c r="W462" s="1570">
        <v>0</v>
      </c>
      <c r="X462" s="1570">
        <v>0</v>
      </c>
      <c r="Y462" s="2517">
        <v>0</v>
      </c>
      <c r="Z462" s="1742" t="s">
        <v>72</v>
      </c>
      <c r="AA462" s="2518" t="s">
        <v>83</v>
      </c>
      <c r="AB462" s="2519" t="s">
        <v>747</v>
      </c>
      <c r="AC462" s="2520" t="s">
        <v>80</v>
      </c>
      <c r="AD462" s="2521">
        <v>1</v>
      </c>
      <c r="AE462" s="2162" t="s">
        <v>166</v>
      </c>
      <c r="AF462" s="2162" t="s">
        <v>657</v>
      </c>
    </row>
    <row r="463" spans="1:32" ht="26.4" outlineLevel="1" x14ac:dyDescent="0.25">
      <c r="A463" s="325" t="s">
        <v>367</v>
      </c>
      <c r="B463" s="457" t="s">
        <v>675</v>
      </c>
      <c r="C463" s="649" t="s">
        <v>366</v>
      </c>
      <c r="D463" s="40" t="s">
        <v>1693</v>
      </c>
      <c r="E463" s="32" t="s">
        <v>368</v>
      </c>
      <c r="F463" s="41" t="s">
        <v>368</v>
      </c>
      <c r="G463" s="650">
        <v>3000</v>
      </c>
      <c r="H463" s="651">
        <v>118.58</v>
      </c>
      <c r="I463" s="652">
        <v>0</v>
      </c>
      <c r="J463" s="653">
        <v>0</v>
      </c>
      <c r="K463" s="464">
        <v>0</v>
      </c>
      <c r="L463" s="654">
        <f t="shared" si="40"/>
        <v>1381.42</v>
      </c>
      <c r="M463" s="460">
        <v>2881.42</v>
      </c>
      <c r="N463" s="461">
        <v>-1500</v>
      </c>
      <c r="O463" s="462">
        <f t="shared" si="31"/>
        <v>1381.42</v>
      </c>
      <c r="P463" s="64">
        <v>1500</v>
      </c>
      <c r="Q463" s="53">
        <v>0</v>
      </c>
      <c r="R463" s="679">
        <v>0</v>
      </c>
      <c r="S463" s="96">
        <v>0</v>
      </c>
      <c r="T463" s="63">
        <v>0</v>
      </c>
      <c r="U463" s="652">
        <v>0</v>
      </c>
      <c r="V463" s="677">
        <v>0</v>
      </c>
      <c r="W463" s="677">
        <v>0</v>
      </c>
      <c r="X463" s="677">
        <v>0</v>
      </c>
      <c r="Y463" s="100">
        <v>0</v>
      </c>
      <c r="Z463" s="41" t="s">
        <v>1695</v>
      </c>
      <c r="AA463" s="62" t="s">
        <v>10</v>
      </c>
      <c r="AB463" s="655" t="s">
        <v>1050</v>
      </c>
      <c r="AC463" s="656" t="s">
        <v>80</v>
      </c>
      <c r="AD463" s="1007">
        <v>1</v>
      </c>
      <c r="AE463" s="957" t="s">
        <v>173</v>
      </c>
      <c r="AF463" s="957" t="s">
        <v>657</v>
      </c>
    </row>
    <row r="464" spans="1:32" ht="31.8" outlineLevel="1" thickBot="1" x14ac:dyDescent="0.3">
      <c r="A464" s="414" t="s">
        <v>369</v>
      </c>
      <c r="B464" s="29" t="s">
        <v>676</v>
      </c>
      <c r="C464" s="1673" t="s">
        <v>370</v>
      </c>
      <c r="D464" s="1755" t="s">
        <v>1693</v>
      </c>
      <c r="E464" s="1795" t="s">
        <v>48</v>
      </c>
      <c r="F464" s="1674" t="s">
        <v>48</v>
      </c>
      <c r="G464" s="1796">
        <f>13866.72827 + 883.99389-161.2399</f>
        <v>14589.482259999999</v>
      </c>
      <c r="H464" s="1549">
        <v>13866.72827</v>
      </c>
      <c r="I464" s="1550">
        <v>722.75399000000004</v>
      </c>
      <c r="J464" s="1551">
        <v>0</v>
      </c>
      <c r="K464" s="1351">
        <v>722.75399000000004</v>
      </c>
      <c r="L464" s="1552">
        <f t="shared" si="40"/>
        <v>0</v>
      </c>
      <c r="M464" s="1234">
        <v>722.75398999999993</v>
      </c>
      <c r="N464" s="330">
        <v>0</v>
      </c>
      <c r="O464" s="2026">
        <f t="shared" si="31"/>
        <v>722.75398999999993</v>
      </c>
      <c r="P464" s="2237">
        <v>0</v>
      </c>
      <c r="Q464" s="2238">
        <v>0</v>
      </c>
      <c r="R464" s="2239">
        <v>0</v>
      </c>
      <c r="S464" s="2240">
        <v>0</v>
      </c>
      <c r="T464" s="2250">
        <v>0</v>
      </c>
      <c r="U464" s="1550">
        <v>0</v>
      </c>
      <c r="V464" s="2168">
        <v>0</v>
      </c>
      <c r="W464" s="2168">
        <v>0</v>
      </c>
      <c r="X464" s="2168">
        <v>0</v>
      </c>
      <c r="Y464" s="2170">
        <v>0</v>
      </c>
      <c r="Z464" s="1674" t="s">
        <v>72</v>
      </c>
      <c r="AA464" s="1674" t="s">
        <v>83</v>
      </c>
      <c r="AB464" s="2034" t="s">
        <v>677</v>
      </c>
      <c r="AC464" s="2522" t="s">
        <v>80</v>
      </c>
      <c r="AD464" s="2523">
        <v>1</v>
      </c>
      <c r="AE464" s="1676" t="s">
        <v>168</v>
      </c>
      <c r="AF464" s="1676" t="s">
        <v>657</v>
      </c>
    </row>
    <row r="465" spans="1:32" ht="31.2" outlineLevel="1" x14ac:dyDescent="0.25">
      <c r="A465" s="657" t="s">
        <v>437</v>
      </c>
      <c r="B465" s="1953" t="s">
        <v>678</v>
      </c>
      <c r="C465" s="1954" t="s">
        <v>438</v>
      </c>
      <c r="D465" s="1734" t="s">
        <v>945</v>
      </c>
      <c r="E465" s="1739" t="s">
        <v>439</v>
      </c>
      <c r="F465" s="1734" t="s">
        <v>439</v>
      </c>
      <c r="G465" s="1955">
        <f>5800-1900+2000+613</f>
        <v>6513</v>
      </c>
      <c r="H465" s="1553">
        <v>3719.3497600000001</v>
      </c>
      <c r="I465" s="1554">
        <v>498.06175999999999</v>
      </c>
      <c r="J465" s="1555">
        <v>0</v>
      </c>
      <c r="K465" s="1556">
        <v>498.06175999999999</v>
      </c>
      <c r="L465" s="1301">
        <f t="shared" si="40"/>
        <v>2295.5884799999999</v>
      </c>
      <c r="M465" s="1302">
        <v>2180.6502399999999</v>
      </c>
      <c r="N465" s="658">
        <v>613</v>
      </c>
      <c r="O465" s="2114">
        <f t="shared" si="31"/>
        <v>2793.6502399999999</v>
      </c>
      <c r="P465" s="2386">
        <v>0</v>
      </c>
      <c r="Q465" s="2386">
        <v>0</v>
      </c>
      <c r="R465" s="2524">
        <v>0</v>
      </c>
      <c r="S465" s="2525">
        <v>0</v>
      </c>
      <c r="T465" s="2526">
        <v>0</v>
      </c>
      <c r="U465" s="1554">
        <v>0</v>
      </c>
      <c r="V465" s="1588">
        <v>0</v>
      </c>
      <c r="W465" s="1588">
        <v>0</v>
      </c>
      <c r="X465" s="1588">
        <v>0</v>
      </c>
      <c r="Y465" s="2527">
        <v>0</v>
      </c>
      <c r="Z465" s="1734" t="s">
        <v>1696</v>
      </c>
      <c r="AA465" s="2528" t="s">
        <v>10</v>
      </c>
      <c r="AB465" s="2529" t="s">
        <v>1073</v>
      </c>
      <c r="AC465" s="2530" t="s">
        <v>80</v>
      </c>
      <c r="AD465" s="2531">
        <v>1</v>
      </c>
      <c r="AE465" s="2132" t="s">
        <v>173</v>
      </c>
      <c r="AF465" s="2132" t="s">
        <v>657</v>
      </c>
    </row>
    <row r="466" spans="1:32" ht="26.4" outlineLevel="1" x14ac:dyDescent="0.25">
      <c r="A466" s="326" t="s">
        <v>441</v>
      </c>
      <c r="B466" s="14" t="s">
        <v>679</v>
      </c>
      <c r="C466" s="1813" t="s">
        <v>358</v>
      </c>
      <c r="D466" s="1687" t="s">
        <v>945</v>
      </c>
      <c r="E466" s="1722" t="s">
        <v>442</v>
      </c>
      <c r="F466" s="1687" t="s">
        <v>442</v>
      </c>
      <c r="G466" s="1815">
        <f>1500-1500</f>
        <v>0</v>
      </c>
      <c r="H466" s="1557">
        <v>0</v>
      </c>
      <c r="I466" s="1558">
        <v>0</v>
      </c>
      <c r="J466" s="1559">
        <v>0</v>
      </c>
      <c r="K466" s="1375">
        <v>0</v>
      </c>
      <c r="L466" s="1244">
        <f t="shared" si="40"/>
        <v>0</v>
      </c>
      <c r="M466" s="1245">
        <v>1500</v>
      </c>
      <c r="N466" s="246">
        <v>-1500</v>
      </c>
      <c r="O466" s="2047">
        <f t="shared" si="31"/>
        <v>0</v>
      </c>
      <c r="P466" s="2377">
        <v>0</v>
      </c>
      <c r="Q466" s="2377">
        <v>0</v>
      </c>
      <c r="R466" s="2383">
        <v>0</v>
      </c>
      <c r="S466" s="2384">
        <v>0</v>
      </c>
      <c r="T466" s="2382">
        <v>0</v>
      </c>
      <c r="U466" s="1558">
        <v>0</v>
      </c>
      <c r="V466" s="1592">
        <v>0</v>
      </c>
      <c r="W466" s="1592">
        <v>0</v>
      </c>
      <c r="X466" s="1592">
        <v>0</v>
      </c>
      <c r="Y466" s="1591">
        <v>0</v>
      </c>
      <c r="Z466" s="1687" t="s">
        <v>1697</v>
      </c>
      <c r="AA466" s="2379" t="s">
        <v>81</v>
      </c>
      <c r="AB466" s="2381" t="s">
        <v>747</v>
      </c>
      <c r="AC466" s="2532" t="s">
        <v>80</v>
      </c>
      <c r="AD466" s="2533">
        <v>1</v>
      </c>
      <c r="AE466" s="1688" t="s">
        <v>172</v>
      </c>
      <c r="AF466" s="1688" t="s">
        <v>657</v>
      </c>
    </row>
    <row r="467" spans="1:32" ht="26.4" outlineLevel="1" x14ac:dyDescent="0.25">
      <c r="A467" s="223" t="s">
        <v>443</v>
      </c>
      <c r="B467" s="1956" t="s">
        <v>680</v>
      </c>
      <c r="C467" s="1957" t="s">
        <v>525</v>
      </c>
      <c r="D467" s="1687" t="s">
        <v>945</v>
      </c>
      <c r="E467" s="1722" t="s">
        <v>372</v>
      </c>
      <c r="F467" s="1687" t="s">
        <v>373</v>
      </c>
      <c r="G467" s="1815">
        <f xml:space="preserve"> 4000+1638-427.49677</f>
        <v>5210.5032300000003</v>
      </c>
      <c r="H467" s="1557">
        <v>688.82051999999999</v>
      </c>
      <c r="I467" s="1558">
        <v>2521.68271</v>
      </c>
      <c r="J467" s="1559">
        <v>0</v>
      </c>
      <c r="K467" s="1243">
        <v>2521.68271</v>
      </c>
      <c r="L467" s="1244">
        <f t="shared" si="40"/>
        <v>0</v>
      </c>
      <c r="M467" s="1245">
        <v>2521.6827099999996</v>
      </c>
      <c r="N467" s="246">
        <v>0</v>
      </c>
      <c r="O467" s="2047">
        <f t="shared" si="31"/>
        <v>2521.6827099999996</v>
      </c>
      <c r="P467" s="2377">
        <v>0</v>
      </c>
      <c r="Q467" s="2377">
        <v>0</v>
      </c>
      <c r="R467" s="2383">
        <v>2000</v>
      </c>
      <c r="S467" s="2384">
        <v>0</v>
      </c>
      <c r="T467" s="2382">
        <v>0</v>
      </c>
      <c r="U467" s="1558">
        <v>0</v>
      </c>
      <c r="V467" s="1592">
        <v>0</v>
      </c>
      <c r="W467" s="1592">
        <v>0</v>
      </c>
      <c r="X467" s="1592">
        <v>0</v>
      </c>
      <c r="Y467" s="1591">
        <v>0</v>
      </c>
      <c r="Z467" s="1687" t="s">
        <v>72</v>
      </c>
      <c r="AA467" s="2379" t="s">
        <v>83</v>
      </c>
      <c r="AB467" s="2381" t="s">
        <v>677</v>
      </c>
      <c r="AC467" s="2532" t="s">
        <v>80</v>
      </c>
      <c r="AD467" s="2533">
        <v>1</v>
      </c>
      <c r="AE467" s="1688" t="s">
        <v>180</v>
      </c>
      <c r="AF467" s="1688" t="s">
        <v>657</v>
      </c>
    </row>
    <row r="468" spans="1:32" ht="40.200000000000003" outlineLevel="1" thickBot="1" x14ac:dyDescent="0.3">
      <c r="A468" s="552" t="s">
        <v>444</v>
      </c>
      <c r="B468" s="552" t="s">
        <v>681</v>
      </c>
      <c r="C468" s="663" t="s">
        <v>445</v>
      </c>
      <c r="D468" s="56" t="s">
        <v>945</v>
      </c>
      <c r="E468" s="69" t="s">
        <v>446</v>
      </c>
      <c r="F468" s="56" t="s">
        <v>446</v>
      </c>
      <c r="G468" s="664">
        <v>17250</v>
      </c>
      <c r="H468" s="665">
        <v>0</v>
      </c>
      <c r="I468" s="666">
        <v>0</v>
      </c>
      <c r="J468" s="667">
        <v>0</v>
      </c>
      <c r="K468" s="668">
        <v>0</v>
      </c>
      <c r="L468" s="669">
        <f t="shared" si="40"/>
        <v>0</v>
      </c>
      <c r="M468" s="672">
        <v>7000</v>
      </c>
      <c r="N468" s="673">
        <v>-7000</v>
      </c>
      <c r="O468" s="111">
        <f t="shared" si="31"/>
        <v>0</v>
      </c>
      <c r="P468" s="71">
        <v>15250</v>
      </c>
      <c r="Q468" s="71">
        <v>0</v>
      </c>
      <c r="R468" s="750">
        <v>2000</v>
      </c>
      <c r="S468" s="106">
        <v>0</v>
      </c>
      <c r="T468" s="105">
        <v>0</v>
      </c>
      <c r="U468" s="666">
        <v>0</v>
      </c>
      <c r="V468" s="716">
        <v>0</v>
      </c>
      <c r="W468" s="716">
        <v>0</v>
      </c>
      <c r="X468" s="716">
        <v>0</v>
      </c>
      <c r="Y468" s="715">
        <v>0</v>
      </c>
      <c r="Z468" s="56" t="s">
        <v>1698</v>
      </c>
      <c r="AA468" s="140" t="s">
        <v>6</v>
      </c>
      <c r="AB468" s="674" t="s">
        <v>450</v>
      </c>
      <c r="AC468" s="675" t="s">
        <v>79</v>
      </c>
      <c r="AD468" s="1010">
        <v>3</v>
      </c>
      <c r="AE468" s="984" t="s">
        <v>174</v>
      </c>
      <c r="AF468" s="984" t="s">
        <v>657</v>
      </c>
    </row>
    <row r="469" spans="1:32" ht="26.4" outlineLevel="1" x14ac:dyDescent="0.25">
      <c r="A469" s="333" t="s">
        <v>468</v>
      </c>
      <c r="B469" s="245" t="s">
        <v>682</v>
      </c>
      <c r="C469" s="1958" t="s">
        <v>440</v>
      </c>
      <c r="D469" s="1707" t="s">
        <v>1029</v>
      </c>
      <c r="E469" s="1708" t="s">
        <v>469</v>
      </c>
      <c r="F469" s="1707" t="s">
        <v>469</v>
      </c>
      <c r="G469" s="1800">
        <f>370 - 169.6056+169.6056-20.7456</f>
        <v>349.25439999999998</v>
      </c>
      <c r="H469" s="1560">
        <v>200.39439999999999</v>
      </c>
      <c r="I469" s="1561">
        <v>148.86000000000001</v>
      </c>
      <c r="J469" s="1562">
        <v>0</v>
      </c>
      <c r="K469" s="1262">
        <v>148.86000000000001</v>
      </c>
      <c r="L469" s="1263">
        <f t="shared" si="40"/>
        <v>0</v>
      </c>
      <c r="M469" s="1264">
        <v>169.60560000000001</v>
      </c>
      <c r="N469" s="2591">
        <v>-20.7456</v>
      </c>
      <c r="O469" s="2070">
        <f t="shared" si="31"/>
        <v>148.86000000000001</v>
      </c>
      <c r="P469" s="2534">
        <v>0</v>
      </c>
      <c r="Q469" s="2406">
        <v>0</v>
      </c>
      <c r="R469" s="2408">
        <v>0</v>
      </c>
      <c r="S469" s="2409">
        <v>0</v>
      </c>
      <c r="T469" s="2407">
        <v>0</v>
      </c>
      <c r="U469" s="1561">
        <v>0</v>
      </c>
      <c r="V469" s="2193">
        <v>0</v>
      </c>
      <c r="W469" s="2193">
        <v>0</v>
      </c>
      <c r="X469" s="2193">
        <v>0</v>
      </c>
      <c r="Y469" s="2535">
        <v>0</v>
      </c>
      <c r="Z469" s="1701" t="s">
        <v>1735</v>
      </c>
      <c r="AA469" s="2410" t="s">
        <v>83</v>
      </c>
      <c r="AB469" s="2412" t="s">
        <v>1073</v>
      </c>
      <c r="AC469" s="2536" t="s">
        <v>80</v>
      </c>
      <c r="AD469" s="2537">
        <v>1</v>
      </c>
      <c r="AE469" s="1709" t="s">
        <v>167</v>
      </c>
      <c r="AF469" s="1709" t="s">
        <v>657</v>
      </c>
    </row>
    <row r="470" spans="1:32" ht="27" outlineLevel="1" thickBot="1" x14ac:dyDescent="0.3">
      <c r="A470" s="353" t="s">
        <v>470</v>
      </c>
      <c r="B470" s="602" t="s">
        <v>683</v>
      </c>
      <c r="C470" s="663" t="s">
        <v>471</v>
      </c>
      <c r="D470" s="56" t="s">
        <v>1029</v>
      </c>
      <c r="E470" s="69" t="s">
        <v>50</v>
      </c>
      <c r="F470" s="56" t="s">
        <v>50</v>
      </c>
      <c r="G470" s="664">
        <v>302.5</v>
      </c>
      <c r="H470" s="665">
        <v>0</v>
      </c>
      <c r="I470" s="666">
        <v>0</v>
      </c>
      <c r="J470" s="667">
        <v>0</v>
      </c>
      <c r="K470" s="668">
        <v>0</v>
      </c>
      <c r="L470" s="669">
        <f t="shared" si="40"/>
        <v>0</v>
      </c>
      <c r="M470" s="672">
        <v>302.5</v>
      </c>
      <c r="N470" s="673">
        <v>-302.5</v>
      </c>
      <c r="O470" s="111">
        <f t="shared" si="31"/>
        <v>0</v>
      </c>
      <c r="P470" s="71">
        <v>302.5</v>
      </c>
      <c r="Q470" s="71">
        <v>0</v>
      </c>
      <c r="R470" s="750">
        <v>0</v>
      </c>
      <c r="S470" s="106">
        <v>0</v>
      </c>
      <c r="T470" s="105">
        <v>0</v>
      </c>
      <c r="U470" s="666">
        <v>0</v>
      </c>
      <c r="V470" s="716">
        <v>0</v>
      </c>
      <c r="W470" s="716">
        <v>0</v>
      </c>
      <c r="X470" s="716">
        <v>0</v>
      </c>
      <c r="Y470" s="717">
        <v>0</v>
      </c>
      <c r="Z470" s="56" t="s">
        <v>1699</v>
      </c>
      <c r="AA470" s="140" t="s">
        <v>10</v>
      </c>
      <c r="AB470" s="674" t="s">
        <v>1076</v>
      </c>
      <c r="AC470" s="675" t="s">
        <v>80</v>
      </c>
      <c r="AD470" s="1010">
        <v>1</v>
      </c>
      <c r="AE470" s="984" t="s">
        <v>171</v>
      </c>
      <c r="AF470" s="984" t="s">
        <v>657</v>
      </c>
    </row>
    <row r="471" spans="1:32" s="420" customFormat="1" ht="27" outlineLevel="1" thickBot="1" x14ac:dyDescent="0.3">
      <c r="A471" s="227" t="s">
        <v>526</v>
      </c>
      <c r="B471" s="227" t="s">
        <v>684</v>
      </c>
      <c r="C471" s="1636" t="s">
        <v>527</v>
      </c>
      <c r="D471" s="2" t="s">
        <v>1009</v>
      </c>
      <c r="E471" s="1637" t="s">
        <v>49</v>
      </c>
      <c r="F471" s="2" t="s">
        <v>49</v>
      </c>
      <c r="G471" s="1789">
        <f>3000+1368</f>
        <v>4368</v>
      </c>
      <c r="H471" s="1563">
        <v>0</v>
      </c>
      <c r="I471" s="1564">
        <v>0</v>
      </c>
      <c r="J471" s="1565">
        <v>0</v>
      </c>
      <c r="K471" s="1205">
        <v>0</v>
      </c>
      <c r="L471" s="1206">
        <f t="shared" si="40"/>
        <v>2000</v>
      </c>
      <c r="M471" s="1180">
        <v>2000</v>
      </c>
      <c r="N471" s="295">
        <v>0</v>
      </c>
      <c r="O471" s="1992">
        <f t="shared" ref="O471:O518" si="41">M471+N471</f>
        <v>2000</v>
      </c>
      <c r="P471" s="2427">
        <v>2368</v>
      </c>
      <c r="Q471" s="2427">
        <v>0</v>
      </c>
      <c r="R471" s="2428">
        <v>0</v>
      </c>
      <c r="S471" s="2429">
        <v>0</v>
      </c>
      <c r="T471" s="2173">
        <v>0</v>
      </c>
      <c r="U471" s="1564">
        <v>0</v>
      </c>
      <c r="V471" s="2174">
        <v>0</v>
      </c>
      <c r="W471" s="2174">
        <v>0</v>
      </c>
      <c r="X471" s="2174">
        <v>0</v>
      </c>
      <c r="Y471" s="2188">
        <v>0</v>
      </c>
      <c r="Z471" s="2" t="s">
        <v>72</v>
      </c>
      <c r="AA471" s="2430" t="s">
        <v>10</v>
      </c>
      <c r="AB471" s="2432" t="s">
        <v>1076</v>
      </c>
      <c r="AC471" s="2538" t="s">
        <v>80</v>
      </c>
      <c r="AD471" s="2539">
        <v>1</v>
      </c>
      <c r="AE471" s="1638" t="s">
        <v>183</v>
      </c>
      <c r="AF471" s="2540" t="s">
        <v>657</v>
      </c>
    </row>
    <row r="472" spans="1:32" s="420" customFormat="1" ht="26.4" outlineLevel="1" x14ac:dyDescent="0.25">
      <c r="A472" s="325" t="s">
        <v>571</v>
      </c>
      <c r="B472" s="225" t="s">
        <v>685</v>
      </c>
      <c r="C472" s="1665" t="s">
        <v>572</v>
      </c>
      <c r="D472" s="1642" t="s">
        <v>1008</v>
      </c>
      <c r="E472" s="1643" t="s">
        <v>49</v>
      </c>
      <c r="F472" s="1642" t="s">
        <v>49</v>
      </c>
      <c r="G472" s="1801">
        <f>2000+2500+3900</f>
        <v>8400</v>
      </c>
      <c r="H472" s="1361">
        <v>0</v>
      </c>
      <c r="I472" s="1543">
        <v>0</v>
      </c>
      <c r="J472" s="1544">
        <v>0</v>
      </c>
      <c r="K472" s="1184">
        <v>0</v>
      </c>
      <c r="L472" s="1185">
        <v>4000</v>
      </c>
      <c r="M472" s="1169">
        <v>4000</v>
      </c>
      <c r="N472" s="234">
        <v>0</v>
      </c>
      <c r="O472" s="1617">
        <f t="shared" si="41"/>
        <v>4000</v>
      </c>
      <c r="P472" s="2415">
        <v>4400</v>
      </c>
      <c r="Q472" s="2415">
        <v>0</v>
      </c>
      <c r="R472" s="2417">
        <v>0</v>
      </c>
      <c r="S472" s="2418">
        <v>0</v>
      </c>
      <c r="T472" s="2416">
        <v>0</v>
      </c>
      <c r="U472" s="1543">
        <v>0</v>
      </c>
      <c r="V472" s="1576">
        <v>0</v>
      </c>
      <c r="W472" s="1576">
        <v>0</v>
      </c>
      <c r="X472" s="1576">
        <v>0</v>
      </c>
      <c r="Y472" s="1608">
        <v>0</v>
      </c>
      <c r="Z472" s="1923" t="s">
        <v>72</v>
      </c>
      <c r="AA472" s="2510" t="s">
        <v>10</v>
      </c>
      <c r="AB472" s="2040" t="s">
        <v>1076</v>
      </c>
      <c r="AC472" s="2511" t="s">
        <v>80</v>
      </c>
      <c r="AD472" s="2512">
        <v>1</v>
      </c>
      <c r="AE472" s="1644" t="s">
        <v>183</v>
      </c>
      <c r="AF472" s="2541" t="s">
        <v>657</v>
      </c>
    </row>
    <row r="473" spans="1:32" ht="31.2" outlineLevel="1" x14ac:dyDescent="0.25">
      <c r="A473" s="241" t="s">
        <v>573</v>
      </c>
      <c r="B473" s="241" t="s">
        <v>686</v>
      </c>
      <c r="C473" s="2700" t="s">
        <v>574</v>
      </c>
      <c r="D473" s="1707" t="s">
        <v>1008</v>
      </c>
      <c r="E473" s="1804" t="s">
        <v>55</v>
      </c>
      <c r="F473" s="1803" t="s">
        <v>55</v>
      </c>
      <c r="G473" s="1805">
        <f>1800-400-6.08</f>
        <v>1393.92</v>
      </c>
      <c r="H473" s="1358">
        <v>0</v>
      </c>
      <c r="I473" s="1578">
        <v>0</v>
      </c>
      <c r="J473" s="1579">
        <v>1393.92</v>
      </c>
      <c r="K473" s="1356">
        <v>0</v>
      </c>
      <c r="L473" s="1357">
        <f t="shared" ref="L473:L489" si="42">O473-K473</f>
        <v>1393.92</v>
      </c>
      <c r="M473" s="1296">
        <v>1400</v>
      </c>
      <c r="N473" s="253">
        <v>-6.08</v>
      </c>
      <c r="O473" s="1816">
        <f t="shared" si="41"/>
        <v>1393.92</v>
      </c>
      <c r="P473" s="2375">
        <v>0</v>
      </c>
      <c r="Q473" s="2375">
        <v>0</v>
      </c>
      <c r="R473" s="2400">
        <v>0</v>
      </c>
      <c r="S473" s="2401">
        <v>0</v>
      </c>
      <c r="T473" s="2399">
        <v>0</v>
      </c>
      <c r="U473" s="1578">
        <v>0</v>
      </c>
      <c r="V473" s="1580">
        <v>0</v>
      </c>
      <c r="W473" s="1580">
        <v>0</v>
      </c>
      <c r="X473" s="1580">
        <v>0</v>
      </c>
      <c r="Y473" s="1599">
        <v>0</v>
      </c>
      <c r="Z473" s="1803" t="s">
        <v>1700</v>
      </c>
      <c r="AA473" s="1803" t="s">
        <v>83</v>
      </c>
      <c r="AB473" s="2404" t="s">
        <v>1073</v>
      </c>
      <c r="AC473" s="2551" t="s">
        <v>80</v>
      </c>
      <c r="AD473" s="2552">
        <v>1</v>
      </c>
      <c r="AE473" s="1905" t="s">
        <v>178</v>
      </c>
      <c r="AF473" s="2701" t="s">
        <v>657</v>
      </c>
    </row>
    <row r="474" spans="1:32" ht="31.8" outlineLevel="1" thickBot="1" x14ac:dyDescent="0.3">
      <c r="A474" s="226" t="s">
        <v>576</v>
      </c>
      <c r="B474" s="226" t="s">
        <v>687</v>
      </c>
      <c r="C474" s="1660" t="s">
        <v>575</v>
      </c>
      <c r="D474" s="1661" t="s">
        <v>1008</v>
      </c>
      <c r="E474" s="1662" t="s">
        <v>281</v>
      </c>
      <c r="F474" s="1661" t="s">
        <v>281</v>
      </c>
      <c r="G474" s="1802">
        <v>24000</v>
      </c>
      <c r="H474" s="1364">
        <v>0</v>
      </c>
      <c r="I474" s="1567">
        <v>511.38465000000002</v>
      </c>
      <c r="J474" s="1568">
        <v>1920.5339900000001</v>
      </c>
      <c r="K474" s="1216">
        <v>511.38465000000002</v>
      </c>
      <c r="L474" s="1217">
        <f t="shared" si="42"/>
        <v>23488.61535</v>
      </c>
      <c r="M474" s="1218">
        <v>24000</v>
      </c>
      <c r="N474" s="276">
        <v>0</v>
      </c>
      <c r="O474" s="1619">
        <f t="shared" si="41"/>
        <v>24000</v>
      </c>
      <c r="P474" s="2350">
        <v>0</v>
      </c>
      <c r="Q474" s="2350">
        <v>0</v>
      </c>
      <c r="R474" s="2352">
        <v>0</v>
      </c>
      <c r="S474" s="2353">
        <v>0</v>
      </c>
      <c r="T474" s="2354">
        <v>0</v>
      </c>
      <c r="U474" s="1567">
        <v>0</v>
      </c>
      <c r="V474" s="1590">
        <v>0</v>
      </c>
      <c r="W474" s="1590">
        <v>0</v>
      </c>
      <c r="X474" s="1590">
        <v>0</v>
      </c>
      <c r="Y474" s="1600">
        <v>0</v>
      </c>
      <c r="Z474" s="1661" t="s">
        <v>72</v>
      </c>
      <c r="AA474" s="1670" t="s">
        <v>10</v>
      </c>
      <c r="AB474" s="2356" t="s">
        <v>382</v>
      </c>
      <c r="AC474" s="2542" t="s">
        <v>80</v>
      </c>
      <c r="AD474" s="2543">
        <v>1</v>
      </c>
      <c r="AE474" s="1663" t="s">
        <v>180</v>
      </c>
      <c r="AF474" s="2248" t="s">
        <v>657</v>
      </c>
    </row>
    <row r="475" spans="1:32" ht="26.4" outlineLevel="1" x14ac:dyDescent="0.25">
      <c r="A475" s="18" t="s">
        <v>688</v>
      </c>
      <c r="B475" s="18" t="s">
        <v>925</v>
      </c>
      <c r="C475" s="1951" t="s">
        <v>689</v>
      </c>
      <c r="D475" s="1742" t="s">
        <v>1041</v>
      </c>
      <c r="E475" s="1748" t="s">
        <v>690</v>
      </c>
      <c r="F475" s="1742" t="s">
        <v>690</v>
      </c>
      <c r="G475" s="1952">
        <f>3000 - 593.57726+79.2</f>
        <v>2485.6227399999998</v>
      </c>
      <c r="H475" s="1569">
        <v>304.04874000000001</v>
      </c>
      <c r="I475" s="1546">
        <v>2181.5740000000001</v>
      </c>
      <c r="J475" s="1547">
        <v>0</v>
      </c>
      <c r="K475" s="1570">
        <f>2102.374+79.2</f>
        <v>2181.5739999999996</v>
      </c>
      <c r="L475" s="1571">
        <f t="shared" si="42"/>
        <v>0</v>
      </c>
      <c r="M475" s="1276">
        <v>2181.5739999999996</v>
      </c>
      <c r="N475" s="355">
        <v>0</v>
      </c>
      <c r="O475" s="2095">
        <f t="shared" si="41"/>
        <v>2181.5739999999996</v>
      </c>
      <c r="P475" s="2373">
        <v>0</v>
      </c>
      <c r="Q475" s="2544">
        <v>0</v>
      </c>
      <c r="R475" s="2514">
        <v>0</v>
      </c>
      <c r="S475" s="2515">
        <v>0</v>
      </c>
      <c r="T475" s="2516">
        <v>0</v>
      </c>
      <c r="U475" s="1546">
        <v>0</v>
      </c>
      <c r="V475" s="1570">
        <v>0</v>
      </c>
      <c r="W475" s="1570">
        <v>0</v>
      </c>
      <c r="X475" s="1570">
        <v>0</v>
      </c>
      <c r="Y475" s="2545">
        <v>0</v>
      </c>
      <c r="Z475" s="1874" t="s">
        <v>72</v>
      </c>
      <c r="AA475" s="1742" t="s">
        <v>83</v>
      </c>
      <c r="AB475" s="2519" t="s">
        <v>986</v>
      </c>
      <c r="AC475" s="2520" t="s">
        <v>80</v>
      </c>
      <c r="AD475" s="2521">
        <v>1</v>
      </c>
      <c r="AE475" s="2162" t="s">
        <v>180</v>
      </c>
      <c r="AF475" s="2162" t="s">
        <v>657</v>
      </c>
    </row>
    <row r="476" spans="1:32" ht="31.2" outlineLevel="1" x14ac:dyDescent="0.25">
      <c r="A476" s="325" t="s">
        <v>691</v>
      </c>
      <c r="B476" s="446" t="s">
        <v>1210</v>
      </c>
      <c r="C476" s="616" t="s">
        <v>692</v>
      </c>
      <c r="D476" s="40" t="s">
        <v>1041</v>
      </c>
      <c r="E476" s="52" t="s">
        <v>693</v>
      </c>
      <c r="F476" s="40" t="s">
        <v>693</v>
      </c>
      <c r="G476" s="617">
        <v>6785</v>
      </c>
      <c r="H476" s="101">
        <v>1554.7669999999998</v>
      </c>
      <c r="I476" s="652">
        <v>0</v>
      </c>
      <c r="J476" s="653">
        <v>252.16399999999999</v>
      </c>
      <c r="K476" s="677">
        <v>0</v>
      </c>
      <c r="L476" s="758">
        <f t="shared" si="42"/>
        <v>252.16399999999999</v>
      </c>
      <c r="M476" s="460">
        <v>2230.2330000000002</v>
      </c>
      <c r="N476" s="461">
        <f>-2230.233+252.164</f>
        <v>-1978.0690000000002</v>
      </c>
      <c r="O476" s="462">
        <f t="shared" si="41"/>
        <v>252.16399999999999</v>
      </c>
      <c r="P476" s="64">
        <f>3000+2230.233-252.164</f>
        <v>4978.0690000000004</v>
      </c>
      <c r="Q476" s="678">
        <v>0</v>
      </c>
      <c r="R476" s="679">
        <v>0</v>
      </c>
      <c r="S476" s="96">
        <v>0</v>
      </c>
      <c r="T476" s="63">
        <v>0</v>
      </c>
      <c r="U476" s="652">
        <v>0</v>
      </c>
      <c r="V476" s="677">
        <v>0</v>
      </c>
      <c r="W476" s="677">
        <v>0</v>
      </c>
      <c r="X476" s="677">
        <v>0</v>
      </c>
      <c r="Y476" s="680">
        <v>0</v>
      </c>
      <c r="Z476" s="41" t="s">
        <v>1736</v>
      </c>
      <c r="AA476" s="62" t="s">
        <v>6</v>
      </c>
      <c r="AB476" s="655" t="s">
        <v>382</v>
      </c>
      <c r="AC476" s="656" t="s">
        <v>79</v>
      </c>
      <c r="AD476" s="1007">
        <v>1</v>
      </c>
      <c r="AE476" s="957" t="s">
        <v>171</v>
      </c>
      <c r="AF476" s="957" t="s">
        <v>657</v>
      </c>
    </row>
    <row r="477" spans="1:32" ht="31.2" outlineLevel="1" x14ac:dyDescent="0.25">
      <c r="A477" s="325" t="s">
        <v>694</v>
      </c>
      <c r="B477" s="225" t="s">
        <v>900</v>
      </c>
      <c r="C477" s="1628" t="s">
        <v>695</v>
      </c>
      <c r="D477" s="1642" t="s">
        <v>1041</v>
      </c>
      <c r="E477" s="1643" t="s">
        <v>372</v>
      </c>
      <c r="F477" s="1642" t="s">
        <v>373</v>
      </c>
      <c r="G477" s="1801">
        <f>1300</f>
        <v>1300</v>
      </c>
      <c r="H477" s="1341">
        <v>604.35900000000004</v>
      </c>
      <c r="I477" s="1572">
        <v>0</v>
      </c>
      <c r="J477" s="1573">
        <v>0</v>
      </c>
      <c r="K477" s="1574">
        <v>0</v>
      </c>
      <c r="L477" s="1575">
        <f t="shared" si="42"/>
        <v>695.64099999999996</v>
      </c>
      <c r="M477" s="1191">
        <v>695.64099999999996</v>
      </c>
      <c r="N477" s="237">
        <v>0</v>
      </c>
      <c r="O477" s="1615">
        <f t="shared" si="41"/>
        <v>695.64099999999996</v>
      </c>
      <c r="P477" s="2295">
        <v>0</v>
      </c>
      <c r="Q477" s="2546">
        <v>0</v>
      </c>
      <c r="R477" s="2178">
        <v>0</v>
      </c>
      <c r="S477" s="2179">
        <v>0</v>
      </c>
      <c r="T477" s="2180">
        <v>0</v>
      </c>
      <c r="U477" s="1572">
        <v>0</v>
      </c>
      <c r="V477" s="1574">
        <v>0</v>
      </c>
      <c r="W477" s="1574">
        <v>0</v>
      </c>
      <c r="X477" s="1574">
        <v>0</v>
      </c>
      <c r="Y477" s="1607">
        <v>0</v>
      </c>
      <c r="Z477" s="1629" t="s">
        <v>72</v>
      </c>
      <c r="AA477" s="2297" t="s">
        <v>10</v>
      </c>
      <c r="AB477" s="2299" t="s">
        <v>382</v>
      </c>
      <c r="AC477" s="2547" t="s">
        <v>80</v>
      </c>
      <c r="AD477" s="2548">
        <v>1</v>
      </c>
      <c r="AE477" s="1631" t="s">
        <v>180</v>
      </c>
      <c r="AF477" s="1631" t="s">
        <v>657</v>
      </c>
    </row>
    <row r="478" spans="1:32" ht="26.4" outlineLevel="1" x14ac:dyDescent="0.25">
      <c r="A478" s="325" t="s">
        <v>696</v>
      </c>
      <c r="B478" s="225" t="s">
        <v>1209</v>
      </c>
      <c r="C478" s="1641" t="s">
        <v>697</v>
      </c>
      <c r="D478" s="1642" t="s">
        <v>1041</v>
      </c>
      <c r="E478" s="1643" t="s">
        <v>698</v>
      </c>
      <c r="F478" s="1642" t="s">
        <v>698</v>
      </c>
      <c r="G478" s="1801">
        <v>2810</v>
      </c>
      <c r="H478" s="1361">
        <v>1682.6912500000001</v>
      </c>
      <c r="I478" s="1543">
        <v>90.200320000000005</v>
      </c>
      <c r="J478" s="1544">
        <v>236.2808</v>
      </c>
      <c r="K478" s="1576">
        <v>90.200320000000005</v>
      </c>
      <c r="L478" s="1577">
        <f t="shared" si="42"/>
        <v>1037.1084300000002</v>
      </c>
      <c r="M478" s="1169">
        <v>1127.3087500000001</v>
      </c>
      <c r="N478" s="234">
        <v>0</v>
      </c>
      <c r="O478" s="1617">
        <f t="shared" si="41"/>
        <v>1127.3087500000001</v>
      </c>
      <c r="P478" s="2415">
        <v>0</v>
      </c>
      <c r="Q478" s="2549">
        <v>0</v>
      </c>
      <c r="R478" s="2417">
        <v>0</v>
      </c>
      <c r="S478" s="2418">
        <v>0</v>
      </c>
      <c r="T478" s="2416">
        <v>0</v>
      </c>
      <c r="U478" s="1543">
        <v>0</v>
      </c>
      <c r="V478" s="1576">
        <v>0</v>
      </c>
      <c r="W478" s="1576">
        <v>0</v>
      </c>
      <c r="X478" s="1576">
        <v>0</v>
      </c>
      <c r="Y478" s="1608">
        <v>0</v>
      </c>
      <c r="Z478" s="1642" t="s">
        <v>72</v>
      </c>
      <c r="AA478" s="2510" t="s">
        <v>10</v>
      </c>
      <c r="AB478" s="2040" t="s">
        <v>1073</v>
      </c>
      <c r="AC478" s="2511" t="s">
        <v>80</v>
      </c>
      <c r="AD478" s="2512">
        <v>1</v>
      </c>
      <c r="AE478" s="1644" t="s">
        <v>167</v>
      </c>
      <c r="AF478" s="1644" t="s">
        <v>657</v>
      </c>
    </row>
    <row r="479" spans="1:32" ht="26.4" outlineLevel="1" x14ac:dyDescent="0.25">
      <c r="A479" s="18" t="s">
        <v>699</v>
      </c>
      <c r="B479" s="18" t="s">
        <v>1688</v>
      </c>
      <c r="C479" s="1813" t="s">
        <v>700</v>
      </c>
      <c r="D479" s="1742" t="s">
        <v>1041</v>
      </c>
      <c r="E479" s="1748" t="s">
        <v>698</v>
      </c>
      <c r="F479" s="1742" t="s">
        <v>698</v>
      </c>
      <c r="G479" s="1952">
        <v>2200</v>
      </c>
      <c r="H479" s="1376">
        <v>0</v>
      </c>
      <c r="I479" s="1558">
        <v>0</v>
      </c>
      <c r="J479" s="1559">
        <v>2200</v>
      </c>
      <c r="K479" s="1592">
        <v>0</v>
      </c>
      <c r="L479" s="2698">
        <f t="shared" si="42"/>
        <v>2200</v>
      </c>
      <c r="M479" s="1245">
        <v>2200</v>
      </c>
      <c r="N479" s="246">
        <v>0</v>
      </c>
      <c r="O479" s="2047">
        <f t="shared" si="41"/>
        <v>2200</v>
      </c>
      <c r="P479" s="2377">
        <v>0</v>
      </c>
      <c r="Q479" s="2378">
        <v>0</v>
      </c>
      <c r="R479" s="2383">
        <v>0</v>
      </c>
      <c r="S479" s="2384">
        <v>0</v>
      </c>
      <c r="T479" s="2382">
        <v>0</v>
      </c>
      <c r="U479" s="1558">
        <v>0</v>
      </c>
      <c r="V479" s="1592">
        <v>0</v>
      </c>
      <c r="W479" s="1592">
        <v>0</v>
      </c>
      <c r="X479" s="1592">
        <v>0</v>
      </c>
      <c r="Y479" s="1605">
        <v>0</v>
      </c>
      <c r="Z479" s="2533" t="s">
        <v>72</v>
      </c>
      <c r="AA479" s="2379" t="s">
        <v>83</v>
      </c>
      <c r="AB479" s="2381" t="s">
        <v>382</v>
      </c>
      <c r="AC479" s="2532" t="s">
        <v>80</v>
      </c>
      <c r="AD479" s="2533">
        <v>1</v>
      </c>
      <c r="AE479" s="1688" t="s">
        <v>167</v>
      </c>
      <c r="AF479" s="1688" t="s">
        <v>657</v>
      </c>
    </row>
    <row r="480" spans="1:32" ht="26.4" outlineLevel="1" x14ac:dyDescent="0.25">
      <c r="A480" s="681" t="s">
        <v>701</v>
      </c>
      <c r="B480" s="245" t="s">
        <v>909</v>
      </c>
      <c r="C480" s="1958" t="s">
        <v>702</v>
      </c>
      <c r="D480" s="1707" t="s">
        <v>1041</v>
      </c>
      <c r="E480" s="1708" t="s">
        <v>54</v>
      </c>
      <c r="F480" s="1707" t="s">
        <v>54</v>
      </c>
      <c r="G480" s="1800">
        <f>1000+200-305.81</f>
        <v>894.19</v>
      </c>
      <c r="H480" s="1358">
        <v>894.19</v>
      </c>
      <c r="I480" s="1578">
        <v>0</v>
      </c>
      <c r="J480" s="1579">
        <v>0</v>
      </c>
      <c r="K480" s="1580">
        <v>0</v>
      </c>
      <c r="L480" s="1581">
        <f t="shared" si="42"/>
        <v>0</v>
      </c>
      <c r="M480" s="1296">
        <v>305.80999999999995</v>
      </c>
      <c r="N480" s="253">
        <v>-305.81</v>
      </c>
      <c r="O480" s="1816">
        <f t="shared" si="41"/>
        <v>0</v>
      </c>
      <c r="P480" s="2375">
        <v>0</v>
      </c>
      <c r="Q480" s="2550">
        <v>0</v>
      </c>
      <c r="R480" s="2400">
        <v>0</v>
      </c>
      <c r="S480" s="2401">
        <v>0</v>
      </c>
      <c r="T480" s="2399">
        <v>0</v>
      </c>
      <c r="U480" s="1578">
        <v>0</v>
      </c>
      <c r="V480" s="1580">
        <v>0</v>
      </c>
      <c r="W480" s="1580">
        <v>0</v>
      </c>
      <c r="X480" s="1580">
        <v>0</v>
      </c>
      <c r="Y480" s="1599">
        <v>0</v>
      </c>
      <c r="Z480" s="1769" t="s">
        <v>1701</v>
      </c>
      <c r="AA480" s="2402" t="s">
        <v>83</v>
      </c>
      <c r="AB480" s="2404" t="s">
        <v>533</v>
      </c>
      <c r="AC480" s="2551" t="s">
        <v>80</v>
      </c>
      <c r="AD480" s="2552">
        <v>1</v>
      </c>
      <c r="AE480" s="1905" t="s">
        <v>181</v>
      </c>
      <c r="AF480" s="1905" t="s">
        <v>657</v>
      </c>
    </row>
    <row r="481" spans="1:32" ht="26.4" outlineLevel="1" x14ac:dyDescent="0.25">
      <c r="A481" s="333" t="s">
        <v>703</v>
      </c>
      <c r="B481" s="245" t="s">
        <v>901</v>
      </c>
      <c r="C481" s="1958" t="s">
        <v>704</v>
      </c>
      <c r="D481" s="1707" t="s">
        <v>1041</v>
      </c>
      <c r="E481" s="1708" t="s">
        <v>705</v>
      </c>
      <c r="F481" s="1707" t="s">
        <v>705</v>
      </c>
      <c r="G481" s="1800">
        <f>1500+800-893.7977</f>
        <v>1406.2022999999999</v>
      </c>
      <c r="H481" s="1358">
        <v>695.50529999999992</v>
      </c>
      <c r="I481" s="1578">
        <v>710.697</v>
      </c>
      <c r="J481" s="1579">
        <v>0</v>
      </c>
      <c r="K481" s="1580">
        <v>710.697</v>
      </c>
      <c r="L481" s="1582">
        <f t="shared" si="42"/>
        <v>0</v>
      </c>
      <c r="M481" s="1296">
        <v>1604.4947000000002</v>
      </c>
      <c r="N481" s="253">
        <v>-893.79769999999996</v>
      </c>
      <c r="O481" s="1816">
        <f t="shared" si="41"/>
        <v>710.69700000000023</v>
      </c>
      <c r="P481" s="2375">
        <v>0</v>
      </c>
      <c r="Q481" s="2550">
        <v>0</v>
      </c>
      <c r="R481" s="2400">
        <v>0</v>
      </c>
      <c r="S481" s="2401">
        <v>0</v>
      </c>
      <c r="T481" s="2399">
        <v>0</v>
      </c>
      <c r="U481" s="1578">
        <v>0</v>
      </c>
      <c r="V481" s="1580">
        <v>0</v>
      </c>
      <c r="W481" s="1580">
        <v>0</v>
      </c>
      <c r="X481" s="1580">
        <v>0</v>
      </c>
      <c r="Y481" s="1599">
        <v>0</v>
      </c>
      <c r="Z481" s="1803" t="s">
        <v>1702</v>
      </c>
      <c r="AA481" s="2402" t="s">
        <v>83</v>
      </c>
      <c r="AB481" s="2404" t="s">
        <v>533</v>
      </c>
      <c r="AC481" s="2551" t="s">
        <v>80</v>
      </c>
      <c r="AD481" s="2552">
        <v>1</v>
      </c>
      <c r="AE481" s="1905" t="s">
        <v>171</v>
      </c>
      <c r="AF481" s="1905" t="s">
        <v>657</v>
      </c>
    </row>
    <row r="482" spans="1:32" ht="27" outlineLevel="1" thickBot="1" x14ac:dyDescent="0.3">
      <c r="A482" s="19" t="s">
        <v>706</v>
      </c>
      <c r="B482" s="19" t="s">
        <v>75</v>
      </c>
      <c r="C482" s="1817" t="s">
        <v>707</v>
      </c>
      <c r="D482" s="1755" t="s">
        <v>1041</v>
      </c>
      <c r="E482" s="1782" t="s">
        <v>708</v>
      </c>
      <c r="F482" s="1755" t="s">
        <v>467</v>
      </c>
      <c r="G482" s="1626">
        <f>2300-2300</f>
        <v>0</v>
      </c>
      <c r="H482" s="1403">
        <v>0</v>
      </c>
      <c r="I482" s="1583">
        <v>0</v>
      </c>
      <c r="J482" s="1584">
        <v>0</v>
      </c>
      <c r="K482" s="1585">
        <v>0</v>
      </c>
      <c r="L482" s="1586">
        <f t="shared" si="42"/>
        <v>0</v>
      </c>
      <c r="M482" s="1308">
        <v>2300</v>
      </c>
      <c r="N482" s="288">
        <v>-2300</v>
      </c>
      <c r="O482" s="1818">
        <f t="shared" si="41"/>
        <v>0</v>
      </c>
      <c r="P482" s="2256">
        <v>0</v>
      </c>
      <c r="Q482" s="2553">
        <v>0</v>
      </c>
      <c r="R482" s="2258">
        <v>0</v>
      </c>
      <c r="S482" s="2259">
        <v>0</v>
      </c>
      <c r="T482" s="2260">
        <v>0</v>
      </c>
      <c r="U482" s="1583">
        <v>0</v>
      </c>
      <c r="V482" s="1585">
        <v>0</v>
      </c>
      <c r="W482" s="1585">
        <v>0</v>
      </c>
      <c r="X482" s="1585">
        <v>0</v>
      </c>
      <c r="Y482" s="2261">
        <v>0</v>
      </c>
      <c r="Z482" s="1755" t="s">
        <v>1703</v>
      </c>
      <c r="AA482" s="2265" t="s">
        <v>81</v>
      </c>
      <c r="AB482" s="2267" t="s">
        <v>533</v>
      </c>
      <c r="AC482" s="2554" t="s">
        <v>80</v>
      </c>
      <c r="AD482" s="2555">
        <v>1</v>
      </c>
      <c r="AE482" s="1845" t="s">
        <v>187</v>
      </c>
      <c r="AF482" s="1845" t="s">
        <v>657</v>
      </c>
    </row>
    <row r="483" spans="1:32" ht="26.4" outlineLevel="1" x14ac:dyDescent="0.25">
      <c r="A483" s="682" t="s">
        <v>848</v>
      </c>
      <c r="B483" s="683" t="s">
        <v>908</v>
      </c>
      <c r="C483" s="1954" t="s">
        <v>854</v>
      </c>
      <c r="D483" s="1734" t="s">
        <v>1007</v>
      </c>
      <c r="E483" s="1739" t="s">
        <v>467</v>
      </c>
      <c r="F483" s="1734" t="s">
        <v>467</v>
      </c>
      <c r="G483" s="1955">
        <f>2000 + 10000</f>
        <v>12000</v>
      </c>
      <c r="H483" s="1587">
        <v>845.79</v>
      </c>
      <c r="I483" s="1554">
        <v>0</v>
      </c>
      <c r="J483" s="1555">
        <v>0</v>
      </c>
      <c r="K483" s="1588">
        <v>0</v>
      </c>
      <c r="L483" s="1589">
        <f t="shared" si="42"/>
        <v>1154.21</v>
      </c>
      <c r="M483" s="1302">
        <v>1154.21</v>
      </c>
      <c r="N483" s="658">
        <v>0</v>
      </c>
      <c r="O483" s="2114">
        <f t="shared" si="41"/>
        <v>1154.21</v>
      </c>
      <c r="P483" s="2386">
        <v>10000</v>
      </c>
      <c r="Q483" s="2556">
        <v>0</v>
      </c>
      <c r="R483" s="2524">
        <v>0</v>
      </c>
      <c r="S483" s="2525">
        <v>0</v>
      </c>
      <c r="T483" s="2526">
        <v>0</v>
      </c>
      <c r="U483" s="1554">
        <v>0</v>
      </c>
      <c r="V483" s="1588">
        <v>0</v>
      </c>
      <c r="W483" s="1588">
        <v>0</v>
      </c>
      <c r="X483" s="1588">
        <v>0</v>
      </c>
      <c r="Y483" s="2557">
        <v>0</v>
      </c>
      <c r="Z483" s="1734" t="s">
        <v>1742</v>
      </c>
      <c r="AA483" s="2528" t="s">
        <v>6</v>
      </c>
      <c r="AB483" s="2529" t="s">
        <v>382</v>
      </c>
      <c r="AC483" s="2530" t="s">
        <v>79</v>
      </c>
      <c r="AD483" s="2531">
        <v>1</v>
      </c>
      <c r="AE483" s="2132" t="s">
        <v>187</v>
      </c>
      <c r="AF483" s="2132" t="s">
        <v>657</v>
      </c>
    </row>
    <row r="484" spans="1:32" ht="26.4" outlineLevel="1" x14ac:dyDescent="0.25">
      <c r="A484" s="386" t="s">
        <v>849</v>
      </c>
      <c r="B484" s="222" t="s">
        <v>75</v>
      </c>
      <c r="C484" s="1628" t="s">
        <v>850</v>
      </c>
      <c r="D484" s="1642" t="s">
        <v>1007</v>
      </c>
      <c r="E484" s="1645" t="s">
        <v>439</v>
      </c>
      <c r="F484" s="1629" t="s">
        <v>439</v>
      </c>
      <c r="G484" s="1790">
        <f>7056+500</f>
        <v>7556</v>
      </c>
      <c r="H484" s="1341">
        <v>0</v>
      </c>
      <c r="I484" s="1572">
        <v>0</v>
      </c>
      <c r="J484" s="1573">
        <v>0</v>
      </c>
      <c r="K484" s="1574">
        <v>0</v>
      </c>
      <c r="L484" s="1575">
        <f t="shared" si="42"/>
        <v>7556</v>
      </c>
      <c r="M484" s="1191">
        <v>7556</v>
      </c>
      <c r="N484" s="237">
        <v>0</v>
      </c>
      <c r="O484" s="1615">
        <f t="shared" si="41"/>
        <v>7556</v>
      </c>
      <c r="P484" s="2295">
        <v>0</v>
      </c>
      <c r="Q484" s="2546">
        <v>0</v>
      </c>
      <c r="R484" s="2178">
        <v>0</v>
      </c>
      <c r="S484" s="2179">
        <v>0</v>
      </c>
      <c r="T484" s="2180">
        <v>0</v>
      </c>
      <c r="U484" s="1572">
        <v>0</v>
      </c>
      <c r="V484" s="1574">
        <v>0</v>
      </c>
      <c r="W484" s="1574">
        <v>0</v>
      </c>
      <c r="X484" s="1574">
        <v>0</v>
      </c>
      <c r="Y484" s="1607">
        <v>0</v>
      </c>
      <c r="Z484" s="1629" t="s">
        <v>72</v>
      </c>
      <c r="AA484" s="2297" t="s">
        <v>10</v>
      </c>
      <c r="AB484" s="2299" t="s">
        <v>382</v>
      </c>
      <c r="AC484" s="2547" t="s">
        <v>80</v>
      </c>
      <c r="AD484" s="2548">
        <v>1</v>
      </c>
      <c r="AE484" s="1631" t="s">
        <v>173</v>
      </c>
      <c r="AF484" s="1631" t="s">
        <v>657</v>
      </c>
    </row>
    <row r="485" spans="1:32" ht="27" outlineLevel="1" thickBot="1" x14ac:dyDescent="0.3">
      <c r="A485" s="226" t="s">
        <v>851</v>
      </c>
      <c r="B485" s="226" t="s">
        <v>75</v>
      </c>
      <c r="C485" s="1660" t="s">
        <v>852</v>
      </c>
      <c r="D485" s="1661" t="s">
        <v>1007</v>
      </c>
      <c r="E485" s="1662" t="s">
        <v>469</v>
      </c>
      <c r="F485" s="1661" t="s">
        <v>469</v>
      </c>
      <c r="G485" s="1802">
        <v>4000</v>
      </c>
      <c r="H485" s="1364">
        <v>0</v>
      </c>
      <c r="I485" s="1567">
        <v>0</v>
      </c>
      <c r="J485" s="1568">
        <v>0</v>
      </c>
      <c r="K485" s="1590">
        <v>0</v>
      </c>
      <c r="L485" s="1568">
        <f t="shared" si="42"/>
        <v>0</v>
      </c>
      <c r="M485" s="1218">
        <v>0</v>
      </c>
      <c r="N485" s="276">
        <v>0</v>
      </c>
      <c r="O485" s="1619">
        <f t="shared" si="41"/>
        <v>0</v>
      </c>
      <c r="P485" s="2350">
        <v>4000</v>
      </c>
      <c r="Q485" s="2558">
        <v>0</v>
      </c>
      <c r="R485" s="2352">
        <v>0</v>
      </c>
      <c r="S485" s="2353">
        <v>0</v>
      </c>
      <c r="T485" s="2354">
        <v>0</v>
      </c>
      <c r="U485" s="1567">
        <v>0</v>
      </c>
      <c r="V485" s="1590">
        <v>0</v>
      </c>
      <c r="W485" s="1590">
        <v>0</v>
      </c>
      <c r="X485" s="1590">
        <v>0</v>
      </c>
      <c r="Y485" s="1600">
        <v>0</v>
      </c>
      <c r="Z485" s="1661" t="s">
        <v>72</v>
      </c>
      <c r="AA485" s="1670" t="s">
        <v>8</v>
      </c>
      <c r="AB485" s="2356" t="s">
        <v>1236</v>
      </c>
      <c r="AC485" s="2542" t="s">
        <v>79</v>
      </c>
      <c r="AD485" s="2543">
        <v>1</v>
      </c>
      <c r="AE485" s="1663" t="s">
        <v>167</v>
      </c>
      <c r="AF485" s="1663" t="s">
        <v>657</v>
      </c>
    </row>
    <row r="486" spans="1:32" ht="26.4" outlineLevel="1" x14ac:dyDescent="0.25">
      <c r="A486" s="14" t="s">
        <v>864</v>
      </c>
      <c r="B486" s="14" t="s">
        <v>1326</v>
      </c>
      <c r="C486" s="1813" t="s">
        <v>865</v>
      </c>
      <c r="D486" s="1742" t="s">
        <v>1016</v>
      </c>
      <c r="E486" s="1722" t="s">
        <v>52</v>
      </c>
      <c r="F486" s="1687" t="s">
        <v>52</v>
      </c>
      <c r="G486" s="1815">
        <f>1680 - 1.1738</f>
        <v>1678.8262</v>
      </c>
      <c r="H486" s="1376">
        <v>0</v>
      </c>
      <c r="I486" s="1558">
        <v>1678.8262</v>
      </c>
      <c r="J486" s="1591">
        <v>0</v>
      </c>
      <c r="K486" s="1592">
        <v>1678.8262</v>
      </c>
      <c r="L486" s="1571">
        <f t="shared" si="42"/>
        <v>0</v>
      </c>
      <c r="M486" s="1245">
        <v>1678.8262</v>
      </c>
      <c r="N486" s="246">
        <v>0</v>
      </c>
      <c r="O486" s="2047">
        <f t="shared" si="41"/>
        <v>1678.8262</v>
      </c>
      <c r="P486" s="2377">
        <v>0</v>
      </c>
      <c r="Q486" s="2378">
        <v>0</v>
      </c>
      <c r="R486" s="2383">
        <v>0</v>
      </c>
      <c r="S486" s="2384">
        <v>0</v>
      </c>
      <c r="T486" s="2382">
        <v>0</v>
      </c>
      <c r="U486" s="1558">
        <v>0</v>
      </c>
      <c r="V486" s="1592">
        <v>0</v>
      </c>
      <c r="W486" s="1592">
        <v>0</v>
      </c>
      <c r="X486" s="1592">
        <v>0</v>
      </c>
      <c r="Y486" s="1605">
        <v>0</v>
      </c>
      <c r="Z486" s="2379" t="s">
        <v>72</v>
      </c>
      <c r="AA486" s="1687" t="s">
        <v>83</v>
      </c>
      <c r="AB486" s="2381" t="s">
        <v>986</v>
      </c>
      <c r="AC486" s="2532" t="s">
        <v>80</v>
      </c>
      <c r="AD486" s="2533">
        <v>1</v>
      </c>
      <c r="AE486" s="1688" t="s">
        <v>186</v>
      </c>
      <c r="AF486" s="1688" t="s">
        <v>863</v>
      </c>
    </row>
    <row r="487" spans="1:32" ht="31.8" outlineLevel="1" thickBot="1" x14ac:dyDescent="0.3">
      <c r="A487" s="19" t="s">
        <v>866</v>
      </c>
      <c r="B487" s="19" t="s">
        <v>1660</v>
      </c>
      <c r="C487" s="1817" t="s">
        <v>867</v>
      </c>
      <c r="D487" s="1755" t="s">
        <v>1016</v>
      </c>
      <c r="E487" s="1782" t="s">
        <v>52</v>
      </c>
      <c r="F487" s="1755" t="s">
        <v>52</v>
      </c>
      <c r="G487" s="1626">
        <v>1500</v>
      </c>
      <c r="H487" s="1403">
        <v>168</v>
      </c>
      <c r="I487" s="1583">
        <v>0</v>
      </c>
      <c r="J487" s="2699">
        <v>1332</v>
      </c>
      <c r="K487" s="1585">
        <v>0</v>
      </c>
      <c r="L487" s="1586">
        <f t="shared" si="42"/>
        <v>1332</v>
      </c>
      <c r="M487" s="1308">
        <v>1332</v>
      </c>
      <c r="N487" s="288">
        <v>0</v>
      </c>
      <c r="O487" s="1818">
        <f t="shared" si="41"/>
        <v>1332</v>
      </c>
      <c r="P487" s="2256">
        <v>0</v>
      </c>
      <c r="Q487" s="2553">
        <v>0</v>
      </c>
      <c r="R487" s="2258">
        <v>0</v>
      </c>
      <c r="S487" s="2259">
        <v>0</v>
      </c>
      <c r="T487" s="2260">
        <v>0</v>
      </c>
      <c r="U487" s="1583">
        <v>0</v>
      </c>
      <c r="V487" s="1585">
        <v>0</v>
      </c>
      <c r="W487" s="1585">
        <v>0</v>
      </c>
      <c r="X487" s="1585">
        <v>0</v>
      </c>
      <c r="Y487" s="2261">
        <v>0</v>
      </c>
      <c r="Z487" s="2265" t="s">
        <v>72</v>
      </c>
      <c r="AA487" s="1755" t="s">
        <v>83</v>
      </c>
      <c r="AB487" s="2267" t="s">
        <v>533</v>
      </c>
      <c r="AC487" s="2554" t="s">
        <v>80</v>
      </c>
      <c r="AD487" s="2555">
        <v>1</v>
      </c>
      <c r="AE487" s="1845" t="s">
        <v>186</v>
      </c>
      <c r="AF487" s="1845" t="s">
        <v>863</v>
      </c>
    </row>
    <row r="488" spans="1:32" ht="26.4" outlineLevel="1" x14ac:dyDescent="0.25">
      <c r="A488" s="387" t="s">
        <v>917</v>
      </c>
      <c r="B488" s="1959" t="s">
        <v>75</v>
      </c>
      <c r="C488" s="1960" t="s">
        <v>440</v>
      </c>
      <c r="D488" s="1642" t="s">
        <v>1056</v>
      </c>
      <c r="E488" s="1961" t="s">
        <v>55</v>
      </c>
      <c r="F488" s="1923" t="s">
        <v>55</v>
      </c>
      <c r="G488" s="1962">
        <v>135</v>
      </c>
      <c r="H488" s="1487">
        <v>0</v>
      </c>
      <c r="I488" s="1594">
        <v>0</v>
      </c>
      <c r="J488" s="1595">
        <v>0</v>
      </c>
      <c r="K488" s="1596">
        <v>0</v>
      </c>
      <c r="L488" s="1597">
        <f t="shared" si="42"/>
        <v>135</v>
      </c>
      <c r="M488" s="1508">
        <v>135</v>
      </c>
      <c r="N488" s="366">
        <v>0</v>
      </c>
      <c r="O488" s="1617">
        <f t="shared" si="41"/>
        <v>135</v>
      </c>
      <c r="P488" s="2423">
        <v>0</v>
      </c>
      <c r="Q488" s="2559">
        <v>0</v>
      </c>
      <c r="R488" s="2424">
        <v>0</v>
      </c>
      <c r="S488" s="2425">
        <v>0</v>
      </c>
      <c r="T488" s="28">
        <v>0</v>
      </c>
      <c r="U488" s="1594">
        <v>0</v>
      </c>
      <c r="V488" s="1596">
        <v>0</v>
      </c>
      <c r="W488" s="1596">
        <v>0</v>
      </c>
      <c r="X488" s="1596">
        <v>0</v>
      </c>
      <c r="Y488" s="16">
        <v>0</v>
      </c>
      <c r="Z488" s="1642" t="s">
        <v>72</v>
      </c>
      <c r="AA488" s="2510" t="s">
        <v>10</v>
      </c>
      <c r="AB488" s="2041" t="s">
        <v>382</v>
      </c>
      <c r="AC488" s="2511" t="s">
        <v>80</v>
      </c>
      <c r="AD488" s="2512">
        <v>1</v>
      </c>
      <c r="AE488" s="1644" t="s">
        <v>178</v>
      </c>
      <c r="AF488" s="1644" t="s">
        <v>863</v>
      </c>
    </row>
    <row r="489" spans="1:32" ht="26.4" outlineLevel="1" x14ac:dyDescent="0.25">
      <c r="A489" s="241" t="s">
        <v>918</v>
      </c>
      <c r="B489" s="241" t="s">
        <v>1178</v>
      </c>
      <c r="C489" s="1798" t="s">
        <v>919</v>
      </c>
      <c r="D489" s="1803" t="s">
        <v>1056</v>
      </c>
      <c r="E489" s="1804" t="s">
        <v>69</v>
      </c>
      <c r="F489" s="1803" t="s">
        <v>69</v>
      </c>
      <c r="G489" s="1805">
        <f>1800-156.86855</f>
        <v>1643.1314500000001</v>
      </c>
      <c r="H489" s="1358">
        <v>984.25099999999998</v>
      </c>
      <c r="I489" s="1578">
        <v>0</v>
      </c>
      <c r="J489" s="1598">
        <v>658.88045</v>
      </c>
      <c r="K489" s="1580">
        <v>0</v>
      </c>
      <c r="L489" s="1599">
        <f t="shared" si="42"/>
        <v>658.88045</v>
      </c>
      <c r="M489" s="1296">
        <v>815.74900000000002</v>
      </c>
      <c r="N489" s="242">
        <v>-156.86855</v>
      </c>
      <c r="O489" s="1816">
        <f t="shared" si="41"/>
        <v>658.88045</v>
      </c>
      <c r="P489" s="2375">
        <v>0</v>
      </c>
      <c r="Q489" s="2375">
        <v>0</v>
      </c>
      <c r="R489" s="2400">
        <v>0</v>
      </c>
      <c r="S489" s="2401">
        <v>0</v>
      </c>
      <c r="T489" s="2550">
        <v>0</v>
      </c>
      <c r="U489" s="1578">
        <v>0</v>
      </c>
      <c r="V489" s="1580">
        <v>0</v>
      </c>
      <c r="W489" s="1580">
        <v>0</v>
      </c>
      <c r="X489" s="1580">
        <v>0</v>
      </c>
      <c r="Y489" s="1599">
        <v>0</v>
      </c>
      <c r="Z489" s="1803" t="s">
        <v>1704</v>
      </c>
      <c r="AA489" s="2402" t="s">
        <v>83</v>
      </c>
      <c r="AB489" s="2560" t="s">
        <v>747</v>
      </c>
      <c r="AC489" s="2551" t="s">
        <v>80</v>
      </c>
      <c r="AD489" s="2552">
        <v>1</v>
      </c>
      <c r="AE489" s="1905" t="s">
        <v>176</v>
      </c>
      <c r="AF489" s="1905" t="s">
        <v>863</v>
      </c>
    </row>
    <row r="490" spans="1:32" ht="26.4" outlineLevel="1" x14ac:dyDescent="0.25">
      <c r="A490" s="457" t="s">
        <v>920</v>
      </c>
      <c r="B490" s="457" t="s">
        <v>75</v>
      </c>
      <c r="C490" s="684" t="s">
        <v>922</v>
      </c>
      <c r="D490" s="41" t="s">
        <v>1056</v>
      </c>
      <c r="E490" s="32" t="s">
        <v>252</v>
      </c>
      <c r="F490" s="41" t="s">
        <v>252</v>
      </c>
      <c r="G490" s="650">
        <v>17900</v>
      </c>
      <c r="H490" s="101">
        <v>0</v>
      </c>
      <c r="I490" s="652">
        <v>0</v>
      </c>
      <c r="J490" s="100">
        <v>0</v>
      </c>
      <c r="K490" s="677">
        <v>0</v>
      </c>
      <c r="L490" s="680">
        <v>0</v>
      </c>
      <c r="M490" s="460">
        <v>7000</v>
      </c>
      <c r="N490" s="462">
        <v>-7000</v>
      </c>
      <c r="O490" s="462">
        <f t="shared" si="41"/>
        <v>0</v>
      </c>
      <c r="P490" s="64">
        <v>7900</v>
      </c>
      <c r="Q490" s="64">
        <v>10000</v>
      </c>
      <c r="R490" s="679">
        <v>0</v>
      </c>
      <c r="S490" s="96">
        <v>0</v>
      </c>
      <c r="T490" s="678">
        <v>0</v>
      </c>
      <c r="U490" s="652">
        <v>0</v>
      </c>
      <c r="V490" s="677">
        <v>0</v>
      </c>
      <c r="W490" s="677">
        <v>0</v>
      </c>
      <c r="X490" s="677">
        <v>0</v>
      </c>
      <c r="Y490" s="680">
        <v>0</v>
      </c>
      <c r="Z490" s="41" t="s">
        <v>1705</v>
      </c>
      <c r="AA490" s="62" t="s">
        <v>8</v>
      </c>
      <c r="AB490" s="93" t="s">
        <v>382</v>
      </c>
      <c r="AC490" s="62" t="s">
        <v>79</v>
      </c>
      <c r="AD490" s="1007">
        <v>1</v>
      </c>
      <c r="AE490" s="957" t="s">
        <v>173</v>
      </c>
      <c r="AF490" s="957" t="s">
        <v>923</v>
      </c>
    </row>
    <row r="491" spans="1:32" ht="27" outlineLevel="1" thickBot="1" x14ac:dyDescent="0.3">
      <c r="A491" s="686" t="s">
        <v>921</v>
      </c>
      <c r="B491" s="226" t="s">
        <v>1211</v>
      </c>
      <c r="C491" s="1660" t="s">
        <v>924</v>
      </c>
      <c r="D491" s="1661" t="s">
        <v>1056</v>
      </c>
      <c r="E491" s="1662" t="s">
        <v>50</v>
      </c>
      <c r="F491" s="1661" t="s">
        <v>50</v>
      </c>
      <c r="G491" s="1802">
        <v>6300</v>
      </c>
      <c r="H491" s="1364">
        <v>1540.02738</v>
      </c>
      <c r="I491" s="1567">
        <v>1392.5620200000001</v>
      </c>
      <c r="J491" s="1593">
        <v>1430.37788</v>
      </c>
      <c r="K491" s="1590">
        <v>1392.5620200000001</v>
      </c>
      <c r="L491" s="1600">
        <f t="shared" ref="L491:L518" si="43">O491-K491</f>
        <v>3367.4106000000002</v>
      </c>
      <c r="M491" s="1218">
        <v>4759.9726200000005</v>
      </c>
      <c r="N491" s="224">
        <v>0</v>
      </c>
      <c r="O491" s="1619">
        <f t="shared" si="41"/>
        <v>4759.9726200000005</v>
      </c>
      <c r="P491" s="2350">
        <v>0</v>
      </c>
      <c r="Q491" s="2350">
        <v>0</v>
      </c>
      <c r="R491" s="2352">
        <v>0</v>
      </c>
      <c r="S491" s="2353">
        <v>0</v>
      </c>
      <c r="T491" s="2558">
        <v>0</v>
      </c>
      <c r="U491" s="1567">
        <v>0</v>
      </c>
      <c r="V491" s="1590">
        <v>0</v>
      </c>
      <c r="W491" s="1590">
        <v>0</v>
      </c>
      <c r="X491" s="1590">
        <v>0</v>
      </c>
      <c r="Y491" s="1600">
        <v>0</v>
      </c>
      <c r="Z491" s="1670" t="s">
        <v>72</v>
      </c>
      <c r="AA491" s="1670" t="s">
        <v>10</v>
      </c>
      <c r="AB491" s="2561" t="s">
        <v>1073</v>
      </c>
      <c r="AC491" s="1670" t="s">
        <v>80</v>
      </c>
      <c r="AD491" s="2543">
        <v>1</v>
      </c>
      <c r="AE491" s="1663" t="s">
        <v>171</v>
      </c>
      <c r="AF491" s="1663" t="s">
        <v>923</v>
      </c>
    </row>
    <row r="492" spans="1:32" ht="26.4" outlineLevel="1" x14ac:dyDescent="0.25">
      <c r="A492" s="325" t="s">
        <v>1051</v>
      </c>
      <c r="B492" s="446" t="s">
        <v>75</v>
      </c>
      <c r="C492" s="687" t="s">
        <v>1052</v>
      </c>
      <c r="D492" s="40" t="s">
        <v>1219</v>
      </c>
      <c r="E492" s="52" t="s">
        <v>240</v>
      </c>
      <c r="F492" s="40" t="s">
        <v>240</v>
      </c>
      <c r="G492" s="617">
        <v>1600</v>
      </c>
      <c r="H492" s="688">
        <v>0</v>
      </c>
      <c r="I492" s="619">
        <v>0</v>
      </c>
      <c r="J492" s="689">
        <v>0</v>
      </c>
      <c r="K492" s="690">
        <v>0</v>
      </c>
      <c r="L492" s="691">
        <f t="shared" si="43"/>
        <v>0</v>
      </c>
      <c r="M492" s="135">
        <v>1600</v>
      </c>
      <c r="N492" s="622">
        <v>-1600</v>
      </c>
      <c r="O492" s="622">
        <f t="shared" si="41"/>
        <v>0</v>
      </c>
      <c r="P492" s="61">
        <v>1600</v>
      </c>
      <c r="Q492" s="92">
        <v>0</v>
      </c>
      <c r="R492" s="741">
        <v>0</v>
      </c>
      <c r="S492" s="742">
        <v>0</v>
      </c>
      <c r="T492" s="92">
        <v>0</v>
      </c>
      <c r="U492" s="619">
        <v>0</v>
      </c>
      <c r="V492" s="690">
        <v>0</v>
      </c>
      <c r="W492" s="690">
        <v>0</v>
      </c>
      <c r="X492" s="690">
        <v>0</v>
      </c>
      <c r="Y492" s="691">
        <v>0</v>
      </c>
      <c r="Z492" s="40" t="s">
        <v>1706</v>
      </c>
      <c r="AA492" s="39" t="s">
        <v>8</v>
      </c>
      <c r="AB492" s="623" t="s">
        <v>1236</v>
      </c>
      <c r="AC492" s="648" t="s">
        <v>79</v>
      </c>
      <c r="AD492" s="1006">
        <v>1</v>
      </c>
      <c r="AE492" s="948" t="s">
        <v>166</v>
      </c>
      <c r="AF492" s="948" t="s">
        <v>1053</v>
      </c>
    </row>
    <row r="493" spans="1:32" ht="27" outlineLevel="1" thickBot="1" x14ac:dyDescent="0.3">
      <c r="A493" s="244" t="s">
        <v>1054</v>
      </c>
      <c r="B493" s="244" t="s">
        <v>1858</v>
      </c>
      <c r="C493" s="2674" t="s">
        <v>1055</v>
      </c>
      <c r="D493" s="1648" t="s">
        <v>1219</v>
      </c>
      <c r="E493" s="1649" t="s">
        <v>240</v>
      </c>
      <c r="F493" s="1648" t="s">
        <v>240</v>
      </c>
      <c r="G493" s="2679">
        <f>1500-73.156</f>
        <v>1426.8440000000001</v>
      </c>
      <c r="H493" s="1426">
        <v>0</v>
      </c>
      <c r="I493" s="2306">
        <v>0</v>
      </c>
      <c r="J493" s="2337">
        <v>1426.8440000000001</v>
      </c>
      <c r="K493" s="2307">
        <v>0</v>
      </c>
      <c r="L493" s="2308">
        <f t="shared" si="43"/>
        <v>1426.8440000000001</v>
      </c>
      <c r="M493" s="1201">
        <v>1500</v>
      </c>
      <c r="N493" s="2680">
        <v>-73.156000000000006</v>
      </c>
      <c r="O493" s="2006">
        <f t="shared" si="41"/>
        <v>1426.8440000000001</v>
      </c>
      <c r="P493" s="2301">
        <v>0</v>
      </c>
      <c r="Q493" s="2676">
        <v>0</v>
      </c>
      <c r="R493" s="2303">
        <v>0</v>
      </c>
      <c r="S493" s="2304">
        <v>0</v>
      </c>
      <c r="T493" s="2676">
        <v>0</v>
      </c>
      <c r="U493" s="2306">
        <v>0</v>
      </c>
      <c r="V493" s="2307">
        <v>0</v>
      </c>
      <c r="W493" s="2307">
        <v>0</v>
      </c>
      <c r="X493" s="2307">
        <v>0</v>
      </c>
      <c r="Y493" s="2308">
        <v>0</v>
      </c>
      <c r="Z493" s="1648" t="s">
        <v>1072</v>
      </c>
      <c r="AA493" s="1648" t="s">
        <v>83</v>
      </c>
      <c r="AB493" s="2311" t="s">
        <v>382</v>
      </c>
      <c r="AC493" s="2677" t="s">
        <v>80</v>
      </c>
      <c r="AD493" s="2678">
        <v>1</v>
      </c>
      <c r="AE493" s="1650" t="s">
        <v>166</v>
      </c>
      <c r="AF493" s="1650" t="s">
        <v>1053</v>
      </c>
    </row>
    <row r="494" spans="1:32" ht="31.2" outlineLevel="1" x14ac:dyDescent="0.25">
      <c r="A494" s="694" t="s">
        <v>1238</v>
      </c>
      <c r="B494" s="694" t="s">
        <v>75</v>
      </c>
      <c r="C494" s="695" t="s">
        <v>1707</v>
      </c>
      <c r="D494" s="411" t="s">
        <v>1417</v>
      </c>
      <c r="E494" s="216" t="s">
        <v>126</v>
      </c>
      <c r="F494" s="411" t="s">
        <v>126</v>
      </c>
      <c r="G494" s="696">
        <f>3500+220</f>
        <v>3720</v>
      </c>
      <c r="H494" s="697">
        <v>0</v>
      </c>
      <c r="I494" s="698">
        <v>0</v>
      </c>
      <c r="J494" s="699">
        <v>0</v>
      </c>
      <c r="K494" s="700">
        <v>0</v>
      </c>
      <c r="L494" s="701">
        <f t="shared" si="43"/>
        <v>3720</v>
      </c>
      <c r="M494" s="702">
        <v>3500</v>
      </c>
      <c r="N494" s="703">
        <v>220</v>
      </c>
      <c r="O494" s="703">
        <f t="shared" si="41"/>
        <v>3720</v>
      </c>
      <c r="P494" s="704">
        <v>0</v>
      </c>
      <c r="Q494" s="705">
        <v>0</v>
      </c>
      <c r="R494" s="751">
        <v>0</v>
      </c>
      <c r="S494" s="752">
        <v>0</v>
      </c>
      <c r="T494" s="705">
        <v>0</v>
      </c>
      <c r="U494" s="698">
        <v>0</v>
      </c>
      <c r="V494" s="700">
        <v>0</v>
      </c>
      <c r="W494" s="700">
        <v>0</v>
      </c>
      <c r="X494" s="700">
        <v>0</v>
      </c>
      <c r="Y494" s="701">
        <v>0</v>
      </c>
      <c r="Z494" s="411" t="s">
        <v>1708</v>
      </c>
      <c r="AA494" s="706" t="s">
        <v>10</v>
      </c>
      <c r="AB494" s="707" t="s">
        <v>382</v>
      </c>
      <c r="AC494" s="708" t="s">
        <v>80</v>
      </c>
      <c r="AD494" s="1011">
        <v>1</v>
      </c>
      <c r="AE494" s="551" t="s">
        <v>187</v>
      </c>
      <c r="AF494" s="551" t="s">
        <v>657</v>
      </c>
    </row>
    <row r="495" spans="1:32" ht="26.4" outlineLevel="1" x14ac:dyDescent="0.25">
      <c r="A495" s="709" t="s">
        <v>1239</v>
      </c>
      <c r="B495" s="709" t="s">
        <v>1687</v>
      </c>
      <c r="C495" s="1963" t="s">
        <v>1240</v>
      </c>
      <c r="D495" s="1734" t="s">
        <v>1417</v>
      </c>
      <c r="E495" s="1735" t="s">
        <v>371</v>
      </c>
      <c r="F495" s="1964" t="s">
        <v>371</v>
      </c>
      <c r="G495" s="1965">
        <f>600+291.099</f>
        <v>891.09899999999993</v>
      </c>
      <c r="H495" s="1601">
        <v>0</v>
      </c>
      <c r="I495" s="1602">
        <v>0</v>
      </c>
      <c r="J495" s="1603">
        <v>600</v>
      </c>
      <c r="K495" s="1604">
        <v>0</v>
      </c>
      <c r="L495" s="1301">
        <f t="shared" si="43"/>
        <v>891.09899999999993</v>
      </c>
      <c r="M495" s="1288">
        <v>600</v>
      </c>
      <c r="N495" s="710">
        <v>291.09899999999999</v>
      </c>
      <c r="O495" s="2122">
        <f t="shared" si="41"/>
        <v>891.09899999999993</v>
      </c>
      <c r="P495" s="2562">
        <v>0</v>
      </c>
      <c r="Q495" s="2563">
        <v>0</v>
      </c>
      <c r="R495" s="2564">
        <v>0</v>
      </c>
      <c r="S495" s="2565">
        <v>0</v>
      </c>
      <c r="T495" s="2563">
        <v>0</v>
      </c>
      <c r="U495" s="1602">
        <v>0</v>
      </c>
      <c r="V495" s="1604">
        <v>0</v>
      </c>
      <c r="W495" s="1604">
        <v>0</v>
      </c>
      <c r="X495" s="1604">
        <v>0</v>
      </c>
      <c r="Y495" s="2332">
        <v>0</v>
      </c>
      <c r="Z495" s="1964" t="s">
        <v>1743</v>
      </c>
      <c r="AA495" s="2566" t="s">
        <v>6</v>
      </c>
      <c r="AB495" s="2567" t="s">
        <v>1073</v>
      </c>
      <c r="AC495" s="2568" t="s">
        <v>79</v>
      </c>
      <c r="AD495" s="2569">
        <v>1</v>
      </c>
      <c r="AE495" s="2121" t="s">
        <v>183</v>
      </c>
      <c r="AF495" s="2121" t="s">
        <v>1241</v>
      </c>
    </row>
    <row r="496" spans="1:32" ht="26.4" outlineLevel="1" x14ac:dyDescent="0.25">
      <c r="A496" s="14" t="s">
        <v>1242</v>
      </c>
      <c r="B496" s="14" t="s">
        <v>1494</v>
      </c>
      <c r="C496" s="1813" t="s">
        <v>1243</v>
      </c>
      <c r="D496" s="1742" t="s">
        <v>1417</v>
      </c>
      <c r="E496" s="1722" t="s">
        <v>371</v>
      </c>
      <c r="F496" s="1687" t="s">
        <v>371</v>
      </c>
      <c r="G496" s="1815">
        <f>420-77.49792</f>
        <v>342.50207999999998</v>
      </c>
      <c r="H496" s="1376">
        <v>0</v>
      </c>
      <c r="I496" s="1558">
        <v>342.50207999999998</v>
      </c>
      <c r="J496" s="1591">
        <v>0</v>
      </c>
      <c r="K496" s="1592">
        <v>342.50207999999998</v>
      </c>
      <c r="L496" s="1605">
        <f t="shared" si="43"/>
        <v>0</v>
      </c>
      <c r="M496" s="1245">
        <v>342.50207999999998</v>
      </c>
      <c r="N496" s="181">
        <v>0</v>
      </c>
      <c r="O496" s="2047">
        <f t="shared" si="41"/>
        <v>342.50207999999998</v>
      </c>
      <c r="P496" s="2377">
        <v>0</v>
      </c>
      <c r="Q496" s="2378">
        <v>0</v>
      </c>
      <c r="R496" s="2383">
        <v>0</v>
      </c>
      <c r="S496" s="2384">
        <v>0</v>
      </c>
      <c r="T496" s="2378">
        <v>0</v>
      </c>
      <c r="U496" s="1558">
        <v>0</v>
      </c>
      <c r="V496" s="1592">
        <v>0</v>
      </c>
      <c r="W496" s="1592">
        <v>0</v>
      </c>
      <c r="X496" s="1592">
        <v>0</v>
      </c>
      <c r="Y496" s="1605">
        <v>0</v>
      </c>
      <c r="Z496" s="1687" t="s">
        <v>72</v>
      </c>
      <c r="AA496" s="1687" t="s">
        <v>83</v>
      </c>
      <c r="AB496" s="2381" t="s">
        <v>1074</v>
      </c>
      <c r="AC496" s="2532" t="s">
        <v>80</v>
      </c>
      <c r="AD496" s="2533">
        <v>1</v>
      </c>
      <c r="AE496" s="1688" t="s">
        <v>183</v>
      </c>
      <c r="AF496" s="1688" t="s">
        <v>657</v>
      </c>
    </row>
    <row r="497" spans="1:32" ht="26.4" outlineLevel="1" x14ac:dyDescent="0.25">
      <c r="A497" s="222" t="s">
        <v>1244</v>
      </c>
      <c r="B497" s="222" t="s">
        <v>1486</v>
      </c>
      <c r="C497" s="1628" t="s">
        <v>1245</v>
      </c>
      <c r="D497" s="1642" t="s">
        <v>1417</v>
      </c>
      <c r="E497" s="1645" t="s">
        <v>240</v>
      </c>
      <c r="F497" s="1629" t="s">
        <v>240</v>
      </c>
      <c r="G497" s="1790">
        <f>3700+400</f>
        <v>4100</v>
      </c>
      <c r="H497" s="1341">
        <v>0</v>
      </c>
      <c r="I497" s="1572">
        <v>2565.9558999999999</v>
      </c>
      <c r="J497" s="1606">
        <v>576.02449999999999</v>
      </c>
      <c r="K497" s="1574">
        <v>2565.9558999999999</v>
      </c>
      <c r="L497" s="1607">
        <f t="shared" si="43"/>
        <v>1534.0441000000001</v>
      </c>
      <c r="M497" s="1191">
        <v>4100</v>
      </c>
      <c r="N497" s="231">
        <v>0</v>
      </c>
      <c r="O497" s="1615">
        <f t="shared" si="41"/>
        <v>4100</v>
      </c>
      <c r="P497" s="2295">
        <v>0</v>
      </c>
      <c r="Q497" s="2546">
        <v>0</v>
      </c>
      <c r="R497" s="2178">
        <v>0</v>
      </c>
      <c r="S497" s="2179">
        <v>0</v>
      </c>
      <c r="T497" s="2546">
        <v>0</v>
      </c>
      <c r="U497" s="1572">
        <v>0</v>
      </c>
      <c r="V497" s="1574">
        <v>0</v>
      </c>
      <c r="W497" s="1574">
        <v>0</v>
      </c>
      <c r="X497" s="1574">
        <v>0</v>
      </c>
      <c r="Y497" s="1607">
        <v>0</v>
      </c>
      <c r="Z497" s="1629" t="s">
        <v>72</v>
      </c>
      <c r="AA497" s="2297" t="s">
        <v>10</v>
      </c>
      <c r="AB497" s="2299" t="s">
        <v>382</v>
      </c>
      <c r="AC497" s="2547" t="s">
        <v>80</v>
      </c>
      <c r="AD497" s="2548">
        <v>1</v>
      </c>
      <c r="AE497" s="1631" t="s">
        <v>166</v>
      </c>
      <c r="AF497" s="1631" t="s">
        <v>657</v>
      </c>
    </row>
    <row r="498" spans="1:32" ht="26.4" outlineLevel="1" x14ac:dyDescent="0.25">
      <c r="A498" s="241" t="s">
        <v>1246</v>
      </c>
      <c r="B498" s="241" t="s">
        <v>1632</v>
      </c>
      <c r="C498" s="1798" t="s">
        <v>1247</v>
      </c>
      <c r="D498" s="1707" t="s">
        <v>1417</v>
      </c>
      <c r="E498" s="1804" t="s">
        <v>249</v>
      </c>
      <c r="F498" s="1803" t="s">
        <v>249</v>
      </c>
      <c r="G498" s="1805">
        <f>2500-539.70725</f>
        <v>1960.2927500000001</v>
      </c>
      <c r="H498" s="1358">
        <v>0</v>
      </c>
      <c r="I498" s="1578">
        <v>0</v>
      </c>
      <c r="J498" s="1598">
        <v>1960.2927500000001</v>
      </c>
      <c r="K498" s="1580">
        <v>0</v>
      </c>
      <c r="L498" s="1599">
        <f t="shared" si="43"/>
        <v>1960.2927500000001</v>
      </c>
      <c r="M498" s="1296">
        <v>2500</v>
      </c>
      <c r="N498" s="242">
        <v>-539.70725000000004</v>
      </c>
      <c r="O498" s="1816">
        <f t="shared" si="41"/>
        <v>1960.2927500000001</v>
      </c>
      <c r="P498" s="2375">
        <v>0</v>
      </c>
      <c r="Q498" s="2550">
        <v>0</v>
      </c>
      <c r="R498" s="2400">
        <v>0</v>
      </c>
      <c r="S498" s="2401">
        <v>0</v>
      </c>
      <c r="T498" s="2550">
        <v>0</v>
      </c>
      <c r="U498" s="1578">
        <v>0</v>
      </c>
      <c r="V498" s="1580">
        <v>0</v>
      </c>
      <c r="W498" s="1580">
        <v>0</v>
      </c>
      <c r="X498" s="1580">
        <v>0</v>
      </c>
      <c r="Y498" s="1599">
        <v>0</v>
      </c>
      <c r="Z498" s="1803" t="s">
        <v>1709</v>
      </c>
      <c r="AA498" s="2402" t="s">
        <v>83</v>
      </c>
      <c r="AB498" s="2404" t="s">
        <v>448</v>
      </c>
      <c r="AC498" s="2551" t="s">
        <v>80</v>
      </c>
      <c r="AD498" s="2552">
        <v>1</v>
      </c>
      <c r="AE498" s="1905" t="s">
        <v>175</v>
      </c>
      <c r="AF498" s="1905" t="s">
        <v>657</v>
      </c>
    </row>
    <row r="499" spans="1:32" ht="26.4" outlineLevel="1" x14ac:dyDescent="0.25">
      <c r="A499" s="457" t="s">
        <v>1248</v>
      </c>
      <c r="B499" s="457" t="s">
        <v>75</v>
      </c>
      <c r="C499" s="684" t="s">
        <v>1249</v>
      </c>
      <c r="D499" s="40" t="s">
        <v>1417</v>
      </c>
      <c r="E499" s="32" t="s">
        <v>50</v>
      </c>
      <c r="F499" s="41" t="s">
        <v>50</v>
      </c>
      <c r="G499" s="650">
        <v>6720</v>
      </c>
      <c r="H499" s="101">
        <v>0</v>
      </c>
      <c r="I499" s="652">
        <v>0</v>
      </c>
      <c r="J499" s="100">
        <v>0</v>
      </c>
      <c r="K499" s="677">
        <v>0</v>
      </c>
      <c r="L499" s="680">
        <f t="shared" si="43"/>
        <v>2720</v>
      </c>
      <c r="M499" s="460">
        <v>6720</v>
      </c>
      <c r="N499" s="462">
        <v>-4000</v>
      </c>
      <c r="O499" s="462">
        <f t="shared" si="41"/>
        <v>2720</v>
      </c>
      <c r="P499" s="64">
        <v>4000</v>
      </c>
      <c r="Q499" s="678">
        <v>0</v>
      </c>
      <c r="R499" s="679">
        <v>0</v>
      </c>
      <c r="S499" s="96">
        <v>0</v>
      </c>
      <c r="T499" s="678">
        <v>0</v>
      </c>
      <c r="U499" s="652">
        <v>0</v>
      </c>
      <c r="V499" s="677">
        <v>0</v>
      </c>
      <c r="W499" s="677">
        <v>0</v>
      </c>
      <c r="X499" s="677">
        <v>0</v>
      </c>
      <c r="Y499" s="680">
        <v>0</v>
      </c>
      <c r="Z499" s="41" t="s">
        <v>1710</v>
      </c>
      <c r="AA499" s="62" t="s">
        <v>10</v>
      </c>
      <c r="AB499" s="655" t="s">
        <v>1237</v>
      </c>
      <c r="AC499" s="656" t="s">
        <v>80</v>
      </c>
      <c r="AD499" s="1007">
        <v>1</v>
      </c>
      <c r="AE499" s="957" t="s">
        <v>171</v>
      </c>
      <c r="AF499" s="957" t="s">
        <v>657</v>
      </c>
    </row>
    <row r="500" spans="1:32" ht="27" outlineLevel="1" thickBot="1" x14ac:dyDescent="0.3">
      <c r="A500" s="244" t="s">
        <v>1250</v>
      </c>
      <c r="B500" s="244" t="s">
        <v>75</v>
      </c>
      <c r="C500" s="2674" t="s">
        <v>466</v>
      </c>
      <c r="D500" s="2675" t="s">
        <v>1417</v>
      </c>
      <c r="E500" s="1649" t="s">
        <v>55</v>
      </c>
      <c r="F500" s="1648" t="s">
        <v>55</v>
      </c>
      <c r="G500" s="2679">
        <f>850-300 - 17.488+0.00053</f>
        <v>532.51252999999997</v>
      </c>
      <c r="H500" s="1426">
        <v>0</v>
      </c>
      <c r="I500" s="2306">
        <v>0</v>
      </c>
      <c r="J500" s="2337">
        <v>532.51252999999997</v>
      </c>
      <c r="K500" s="2307">
        <v>0</v>
      </c>
      <c r="L500" s="2308">
        <f t="shared" si="43"/>
        <v>532.51252999999997</v>
      </c>
      <c r="M500" s="1201">
        <v>550</v>
      </c>
      <c r="N500" s="2680">
        <f>-17.488+0.00053</f>
        <v>-17.487469999999998</v>
      </c>
      <c r="O500" s="2006">
        <f t="shared" si="41"/>
        <v>532.51252999999997</v>
      </c>
      <c r="P500" s="2301">
        <v>0</v>
      </c>
      <c r="Q500" s="2676">
        <v>0</v>
      </c>
      <c r="R500" s="2303">
        <v>0</v>
      </c>
      <c r="S500" s="2304">
        <v>0</v>
      </c>
      <c r="T500" s="2676">
        <v>0</v>
      </c>
      <c r="U500" s="2306">
        <v>0</v>
      </c>
      <c r="V500" s="2307">
        <v>0</v>
      </c>
      <c r="W500" s="2307">
        <v>0</v>
      </c>
      <c r="X500" s="2307">
        <v>0</v>
      </c>
      <c r="Y500" s="2308">
        <v>0</v>
      </c>
      <c r="Z500" s="1648" t="s">
        <v>1711</v>
      </c>
      <c r="AA500" s="1648" t="s">
        <v>83</v>
      </c>
      <c r="AB500" s="2311" t="s">
        <v>533</v>
      </c>
      <c r="AC500" s="2677" t="s">
        <v>80</v>
      </c>
      <c r="AD500" s="2678">
        <v>1</v>
      </c>
      <c r="AE500" s="1650" t="s">
        <v>178</v>
      </c>
      <c r="AF500" s="1650" t="s">
        <v>863</v>
      </c>
    </row>
    <row r="501" spans="1:32" ht="39.6" outlineLevel="1" x14ac:dyDescent="0.25">
      <c r="A501" s="446" t="s">
        <v>1441</v>
      </c>
      <c r="B501" s="446" t="s">
        <v>75</v>
      </c>
      <c r="C501" s="687" t="s">
        <v>1442</v>
      </c>
      <c r="D501" s="40" t="s">
        <v>1513</v>
      </c>
      <c r="E501" s="52" t="s">
        <v>69</v>
      </c>
      <c r="F501" s="40" t="s">
        <v>69</v>
      </c>
      <c r="G501" s="617">
        <v>1650</v>
      </c>
      <c r="H501" s="688">
        <v>0</v>
      </c>
      <c r="I501" s="619">
        <v>0</v>
      </c>
      <c r="J501" s="689">
        <v>0</v>
      </c>
      <c r="K501" s="690">
        <v>0</v>
      </c>
      <c r="L501" s="711">
        <f t="shared" si="43"/>
        <v>1650</v>
      </c>
      <c r="M501" s="135">
        <v>800</v>
      </c>
      <c r="N501" s="622">
        <v>850</v>
      </c>
      <c r="O501" s="622">
        <f t="shared" si="41"/>
        <v>1650</v>
      </c>
      <c r="P501" s="61">
        <v>0</v>
      </c>
      <c r="Q501" s="92">
        <v>0</v>
      </c>
      <c r="R501" s="741">
        <v>0</v>
      </c>
      <c r="S501" s="742">
        <v>0</v>
      </c>
      <c r="T501" s="92">
        <v>0</v>
      </c>
      <c r="U501" s="619">
        <v>0</v>
      </c>
      <c r="V501" s="690">
        <v>0</v>
      </c>
      <c r="W501" s="690">
        <v>0</v>
      </c>
      <c r="X501" s="690">
        <v>0</v>
      </c>
      <c r="Y501" s="691">
        <v>0</v>
      </c>
      <c r="Z501" s="1162" t="s">
        <v>1712</v>
      </c>
      <c r="AA501" s="39" t="s">
        <v>10</v>
      </c>
      <c r="AB501" s="623" t="s">
        <v>1073</v>
      </c>
      <c r="AC501" s="648" t="s">
        <v>80</v>
      </c>
      <c r="AD501" s="1006">
        <v>1</v>
      </c>
      <c r="AE501" s="948" t="s">
        <v>176</v>
      </c>
      <c r="AF501" s="948" t="s">
        <v>863</v>
      </c>
    </row>
    <row r="502" spans="1:32" ht="39.6" outlineLevel="1" x14ac:dyDescent="0.25">
      <c r="A502" s="457" t="s">
        <v>1443</v>
      </c>
      <c r="B502" s="457" t="s">
        <v>1659</v>
      </c>
      <c r="C502" s="684" t="s">
        <v>283</v>
      </c>
      <c r="D502" s="40" t="s">
        <v>1513</v>
      </c>
      <c r="E502" s="32" t="s">
        <v>69</v>
      </c>
      <c r="F502" s="41" t="s">
        <v>69</v>
      </c>
      <c r="G502" s="650">
        <v>3360</v>
      </c>
      <c r="H502" s="101">
        <v>0</v>
      </c>
      <c r="I502" s="652">
        <v>0</v>
      </c>
      <c r="J502" s="100">
        <v>1287.7170000000001</v>
      </c>
      <c r="K502" s="677">
        <v>0</v>
      </c>
      <c r="L502" s="653">
        <f t="shared" si="43"/>
        <v>3360</v>
      </c>
      <c r="M502" s="460">
        <v>1680</v>
      </c>
      <c r="N502" s="462">
        <v>1680</v>
      </c>
      <c r="O502" s="462">
        <f t="shared" si="41"/>
        <v>3360</v>
      </c>
      <c r="P502" s="64">
        <v>0</v>
      </c>
      <c r="Q502" s="678">
        <v>0</v>
      </c>
      <c r="R502" s="679">
        <v>0</v>
      </c>
      <c r="S502" s="96">
        <v>0</v>
      </c>
      <c r="T502" s="678">
        <v>0</v>
      </c>
      <c r="U502" s="652">
        <v>0</v>
      </c>
      <c r="V502" s="677">
        <v>0</v>
      </c>
      <c r="W502" s="677">
        <v>0</v>
      </c>
      <c r="X502" s="677">
        <v>0</v>
      </c>
      <c r="Y502" s="680">
        <v>0</v>
      </c>
      <c r="Z502" s="1162" t="s">
        <v>1713</v>
      </c>
      <c r="AA502" s="62" t="s">
        <v>10</v>
      </c>
      <c r="AB502" s="655" t="s">
        <v>382</v>
      </c>
      <c r="AC502" s="656" t="s">
        <v>80</v>
      </c>
      <c r="AD502" s="1007">
        <v>1</v>
      </c>
      <c r="AE502" s="957" t="s">
        <v>176</v>
      </c>
      <c r="AF502" s="957" t="s">
        <v>863</v>
      </c>
    </row>
    <row r="503" spans="1:32" ht="26.4" outlineLevel="1" x14ac:dyDescent="0.25">
      <c r="A503" s="386" t="s">
        <v>1444</v>
      </c>
      <c r="B503" s="222" t="s">
        <v>1634</v>
      </c>
      <c r="C503" s="1966" t="s">
        <v>1445</v>
      </c>
      <c r="D503" s="1642" t="s">
        <v>1513</v>
      </c>
      <c r="E503" s="1645" t="s">
        <v>54</v>
      </c>
      <c r="F503" s="1629" t="s">
        <v>54</v>
      </c>
      <c r="G503" s="1790">
        <v>4100</v>
      </c>
      <c r="H503" s="1341">
        <v>0</v>
      </c>
      <c r="I503" s="1572">
        <v>0</v>
      </c>
      <c r="J503" s="1606">
        <v>4073.72462</v>
      </c>
      <c r="K503" s="1574">
        <v>0</v>
      </c>
      <c r="L503" s="1608">
        <f t="shared" si="43"/>
        <v>4100</v>
      </c>
      <c r="M503" s="1191">
        <v>4100</v>
      </c>
      <c r="N503" s="231">
        <v>0</v>
      </c>
      <c r="O503" s="1615">
        <f t="shared" si="41"/>
        <v>4100</v>
      </c>
      <c r="P503" s="2295">
        <v>0</v>
      </c>
      <c r="Q503" s="2546">
        <v>0</v>
      </c>
      <c r="R503" s="2178">
        <v>0</v>
      </c>
      <c r="S503" s="2179">
        <v>0</v>
      </c>
      <c r="T503" s="2546">
        <v>0</v>
      </c>
      <c r="U503" s="1572">
        <v>0</v>
      </c>
      <c r="V503" s="1574">
        <v>0</v>
      </c>
      <c r="W503" s="1574">
        <v>0</v>
      </c>
      <c r="X503" s="1574">
        <v>0</v>
      </c>
      <c r="Y503" s="1607">
        <v>0</v>
      </c>
      <c r="Z503" s="1629" t="s">
        <v>72</v>
      </c>
      <c r="AA503" s="2297" t="s">
        <v>10</v>
      </c>
      <c r="AB503" s="2299" t="s">
        <v>382</v>
      </c>
      <c r="AC503" s="2547" t="s">
        <v>80</v>
      </c>
      <c r="AD503" s="2548">
        <v>1</v>
      </c>
      <c r="AE503" s="1631" t="s">
        <v>181</v>
      </c>
      <c r="AF503" s="1631" t="s">
        <v>657</v>
      </c>
    </row>
    <row r="504" spans="1:32" ht="31.2" outlineLevel="1" x14ac:dyDescent="0.25">
      <c r="A504" s="14" t="s">
        <v>1468</v>
      </c>
      <c r="B504" s="14" t="s">
        <v>1658</v>
      </c>
      <c r="C504" s="1957" t="s">
        <v>1469</v>
      </c>
      <c r="D504" s="1742" t="s">
        <v>1513</v>
      </c>
      <c r="E504" s="1722" t="s">
        <v>250</v>
      </c>
      <c r="F504" s="1722" t="s">
        <v>250</v>
      </c>
      <c r="G504" s="1815">
        <v>5240</v>
      </c>
      <c r="H504" s="1376">
        <v>0</v>
      </c>
      <c r="I504" s="1558">
        <v>0</v>
      </c>
      <c r="J504" s="1591">
        <v>2620</v>
      </c>
      <c r="K504" s="1592">
        <v>0</v>
      </c>
      <c r="L504" s="1559">
        <f t="shared" si="43"/>
        <v>2620</v>
      </c>
      <c r="M504" s="1245">
        <v>2620</v>
      </c>
      <c r="N504" s="181">
        <v>0</v>
      </c>
      <c r="O504" s="2047">
        <f t="shared" si="41"/>
        <v>2620</v>
      </c>
      <c r="P504" s="2377">
        <v>0</v>
      </c>
      <c r="Q504" s="2378">
        <v>0</v>
      </c>
      <c r="R504" s="2383">
        <v>0</v>
      </c>
      <c r="S504" s="2384">
        <v>0</v>
      </c>
      <c r="T504" s="2378">
        <v>2620</v>
      </c>
      <c r="U504" s="1558">
        <v>0</v>
      </c>
      <c r="V504" s="1592">
        <v>0</v>
      </c>
      <c r="W504" s="1592">
        <v>0</v>
      </c>
      <c r="X504" s="1592">
        <v>0</v>
      </c>
      <c r="Y504" s="1605">
        <v>0</v>
      </c>
      <c r="Z504" s="1687" t="s">
        <v>72</v>
      </c>
      <c r="AA504" s="2379" t="s">
        <v>83</v>
      </c>
      <c r="AB504" s="2381" t="s">
        <v>382</v>
      </c>
      <c r="AC504" s="2532" t="s">
        <v>80</v>
      </c>
      <c r="AD504" s="2533">
        <v>1</v>
      </c>
      <c r="AE504" s="1688" t="s">
        <v>180</v>
      </c>
      <c r="AF504" s="1688" t="s">
        <v>863</v>
      </c>
    </row>
    <row r="505" spans="1:32" ht="27" outlineLevel="1" thickBot="1" x14ac:dyDescent="0.3">
      <c r="A505" s="552" t="s">
        <v>1470</v>
      </c>
      <c r="B505" s="552" t="s">
        <v>1473</v>
      </c>
      <c r="C505" s="712" t="s">
        <v>1471</v>
      </c>
      <c r="D505" s="56" t="s">
        <v>1513</v>
      </c>
      <c r="E505" s="69" t="s">
        <v>4</v>
      </c>
      <c r="F505" s="69" t="s">
        <v>1472</v>
      </c>
      <c r="G505" s="664">
        <v>24000</v>
      </c>
      <c r="H505" s="714">
        <v>0</v>
      </c>
      <c r="I505" s="666">
        <v>0</v>
      </c>
      <c r="J505" s="715">
        <v>0</v>
      </c>
      <c r="K505" s="716">
        <v>0</v>
      </c>
      <c r="L505" s="667">
        <f t="shared" si="43"/>
        <v>0</v>
      </c>
      <c r="M505" s="672">
        <v>24000</v>
      </c>
      <c r="N505" s="111">
        <v>-24000</v>
      </c>
      <c r="O505" s="111">
        <f t="shared" si="41"/>
        <v>0</v>
      </c>
      <c r="P505" s="71">
        <v>24000</v>
      </c>
      <c r="Q505" s="718">
        <v>0</v>
      </c>
      <c r="R505" s="750">
        <v>0</v>
      </c>
      <c r="S505" s="106">
        <v>0</v>
      </c>
      <c r="T505" s="718">
        <v>0</v>
      </c>
      <c r="U505" s="666">
        <v>0</v>
      </c>
      <c r="V505" s="716">
        <v>0</v>
      </c>
      <c r="W505" s="716">
        <v>0</v>
      </c>
      <c r="X505" s="753">
        <v>0</v>
      </c>
      <c r="Y505" s="717">
        <v>0</v>
      </c>
      <c r="Z505" s="719" t="s">
        <v>1714</v>
      </c>
      <c r="AA505" s="140" t="s">
        <v>8</v>
      </c>
      <c r="AB505" s="674" t="s">
        <v>382</v>
      </c>
      <c r="AC505" s="675" t="s">
        <v>79</v>
      </c>
      <c r="AD505" s="1010">
        <v>1</v>
      </c>
      <c r="AE505" s="984" t="s">
        <v>174</v>
      </c>
      <c r="AF505" s="984" t="s">
        <v>657</v>
      </c>
    </row>
    <row r="506" spans="1:32" ht="26.4" outlineLevel="1" x14ac:dyDescent="0.25">
      <c r="A506" s="225" t="s">
        <v>1500</v>
      </c>
      <c r="B506" s="225" t="s">
        <v>75</v>
      </c>
      <c r="C506" s="1665" t="s">
        <v>1501</v>
      </c>
      <c r="D506" s="1642" t="s">
        <v>1657</v>
      </c>
      <c r="E506" s="1643" t="s">
        <v>4</v>
      </c>
      <c r="F506" s="1643" t="s">
        <v>281</v>
      </c>
      <c r="G506" s="1801">
        <v>90000</v>
      </c>
      <c r="H506" s="1361">
        <v>0</v>
      </c>
      <c r="I506" s="1543">
        <v>0</v>
      </c>
      <c r="J506" s="1609">
        <v>0</v>
      </c>
      <c r="K506" s="1543">
        <v>0</v>
      </c>
      <c r="L506" s="1544">
        <f t="shared" si="43"/>
        <v>0</v>
      </c>
      <c r="M506" s="1169">
        <v>0</v>
      </c>
      <c r="N506" s="229">
        <v>0</v>
      </c>
      <c r="O506" s="1617">
        <f t="shared" si="41"/>
        <v>0</v>
      </c>
      <c r="P506" s="2415">
        <v>15000</v>
      </c>
      <c r="Q506" s="2549">
        <v>75000</v>
      </c>
      <c r="R506" s="2417">
        <v>0</v>
      </c>
      <c r="S506" s="2418">
        <v>0</v>
      </c>
      <c r="T506" s="2549">
        <v>0</v>
      </c>
      <c r="U506" s="1543">
        <v>0</v>
      </c>
      <c r="V506" s="1576">
        <v>0</v>
      </c>
      <c r="W506" s="1576">
        <v>0</v>
      </c>
      <c r="X506" s="2198">
        <v>0</v>
      </c>
      <c r="Y506" s="1608">
        <v>0</v>
      </c>
      <c r="Z506" s="1642" t="s">
        <v>72</v>
      </c>
      <c r="AA506" s="2510" t="s">
        <v>8</v>
      </c>
      <c r="AB506" s="2040" t="s">
        <v>382</v>
      </c>
      <c r="AC506" s="2511" t="s">
        <v>79</v>
      </c>
      <c r="AD506" s="2512">
        <v>1</v>
      </c>
      <c r="AE506" s="1644" t="s">
        <v>180</v>
      </c>
      <c r="AF506" s="1644" t="s">
        <v>657</v>
      </c>
    </row>
    <row r="507" spans="1:32" ht="31.2" outlineLevel="1" x14ac:dyDescent="0.25">
      <c r="A507" s="222" t="s">
        <v>1502</v>
      </c>
      <c r="B507" s="222" t="s">
        <v>75</v>
      </c>
      <c r="C507" s="1966" t="s">
        <v>1503</v>
      </c>
      <c r="D507" s="1629" t="s">
        <v>1657</v>
      </c>
      <c r="E507" s="1645" t="s">
        <v>52</v>
      </c>
      <c r="F507" s="1645" t="s">
        <v>52</v>
      </c>
      <c r="G507" s="1790">
        <v>4750</v>
      </c>
      <c r="H507" s="1341">
        <v>0</v>
      </c>
      <c r="I507" s="1572">
        <v>0</v>
      </c>
      <c r="J507" s="1606">
        <v>0</v>
      </c>
      <c r="K507" s="1572">
        <v>0</v>
      </c>
      <c r="L507" s="1573">
        <f t="shared" si="43"/>
        <v>4750</v>
      </c>
      <c r="M507" s="1191">
        <v>4750</v>
      </c>
      <c r="N507" s="231">
        <v>0</v>
      </c>
      <c r="O507" s="1615">
        <f t="shared" si="41"/>
        <v>4750</v>
      </c>
      <c r="P507" s="2295">
        <v>0</v>
      </c>
      <c r="Q507" s="2546">
        <v>0</v>
      </c>
      <c r="R507" s="2178">
        <v>0</v>
      </c>
      <c r="S507" s="2179">
        <v>0</v>
      </c>
      <c r="T507" s="2546">
        <v>0</v>
      </c>
      <c r="U507" s="1572">
        <v>0</v>
      </c>
      <c r="V507" s="1574">
        <v>0</v>
      </c>
      <c r="W507" s="1574">
        <v>0</v>
      </c>
      <c r="X507" s="2177">
        <v>0</v>
      </c>
      <c r="Y507" s="1607">
        <v>0</v>
      </c>
      <c r="Z507" s="1629" t="s">
        <v>72</v>
      </c>
      <c r="AA507" s="2297" t="s">
        <v>10</v>
      </c>
      <c r="AB507" s="2299" t="s">
        <v>382</v>
      </c>
      <c r="AC507" s="2547" t="s">
        <v>80</v>
      </c>
      <c r="AD507" s="2548">
        <v>1</v>
      </c>
      <c r="AE507" s="1631" t="s">
        <v>186</v>
      </c>
      <c r="AF507" s="1631" t="s">
        <v>1504</v>
      </c>
    </row>
    <row r="508" spans="1:32" ht="26.4" outlineLevel="1" x14ac:dyDescent="0.25">
      <c r="A508" s="222" t="s">
        <v>1505</v>
      </c>
      <c r="B508" s="222" t="s">
        <v>75</v>
      </c>
      <c r="C508" s="1966" t="s">
        <v>1506</v>
      </c>
      <c r="D508" s="1629" t="s">
        <v>1657</v>
      </c>
      <c r="E508" s="1645" t="s">
        <v>1507</v>
      </c>
      <c r="F508" s="1645" t="s">
        <v>1507</v>
      </c>
      <c r="G508" s="1790">
        <v>700</v>
      </c>
      <c r="H508" s="1341">
        <v>0</v>
      </c>
      <c r="I508" s="1572">
        <v>0</v>
      </c>
      <c r="J508" s="1606">
        <v>0</v>
      </c>
      <c r="K508" s="1572">
        <v>0</v>
      </c>
      <c r="L508" s="1573">
        <f t="shared" si="43"/>
        <v>700</v>
      </c>
      <c r="M508" s="1191">
        <v>700</v>
      </c>
      <c r="N508" s="231">
        <v>0</v>
      </c>
      <c r="O508" s="1615">
        <f t="shared" si="41"/>
        <v>700</v>
      </c>
      <c r="P508" s="2295">
        <v>0</v>
      </c>
      <c r="Q508" s="2546">
        <v>0</v>
      </c>
      <c r="R508" s="2178">
        <v>0</v>
      </c>
      <c r="S508" s="2179">
        <v>0</v>
      </c>
      <c r="T508" s="2546">
        <v>0</v>
      </c>
      <c r="U508" s="1572">
        <v>0</v>
      </c>
      <c r="V508" s="1574">
        <v>0</v>
      </c>
      <c r="W508" s="1574">
        <v>0</v>
      </c>
      <c r="X508" s="2177">
        <v>0</v>
      </c>
      <c r="Y508" s="1607">
        <v>0</v>
      </c>
      <c r="Z508" s="1629" t="s">
        <v>72</v>
      </c>
      <c r="AA508" s="2297" t="s">
        <v>6</v>
      </c>
      <c r="AB508" s="2299" t="s">
        <v>1073</v>
      </c>
      <c r="AC508" s="2547" t="s">
        <v>79</v>
      </c>
      <c r="AD508" s="2548">
        <v>1</v>
      </c>
      <c r="AE508" s="1631" t="s">
        <v>180</v>
      </c>
      <c r="AF508" s="1631" t="s">
        <v>863</v>
      </c>
    </row>
    <row r="509" spans="1:32" ht="26.4" outlineLevel="1" x14ac:dyDescent="0.25">
      <c r="A509" s="222" t="s">
        <v>1508</v>
      </c>
      <c r="B509" s="222" t="s">
        <v>75</v>
      </c>
      <c r="C509" s="1966" t="s">
        <v>1509</v>
      </c>
      <c r="D509" s="1629" t="s">
        <v>1657</v>
      </c>
      <c r="E509" s="1645" t="s">
        <v>1507</v>
      </c>
      <c r="F509" s="1645" t="s">
        <v>1507</v>
      </c>
      <c r="G509" s="1790">
        <v>1000</v>
      </c>
      <c r="H509" s="1341">
        <v>0</v>
      </c>
      <c r="I509" s="1572">
        <v>0</v>
      </c>
      <c r="J509" s="1606">
        <v>0</v>
      </c>
      <c r="K509" s="1572">
        <v>0</v>
      </c>
      <c r="L509" s="1573">
        <f t="shared" si="43"/>
        <v>1000</v>
      </c>
      <c r="M509" s="1191">
        <v>1000</v>
      </c>
      <c r="N509" s="231">
        <v>0</v>
      </c>
      <c r="O509" s="1615">
        <f t="shared" si="41"/>
        <v>1000</v>
      </c>
      <c r="P509" s="2295">
        <v>0</v>
      </c>
      <c r="Q509" s="2546">
        <v>0</v>
      </c>
      <c r="R509" s="2178">
        <v>0</v>
      </c>
      <c r="S509" s="2179">
        <v>0</v>
      </c>
      <c r="T509" s="2546">
        <v>0</v>
      </c>
      <c r="U509" s="1572">
        <v>0</v>
      </c>
      <c r="V509" s="1574">
        <v>0</v>
      </c>
      <c r="W509" s="1574">
        <v>0</v>
      </c>
      <c r="X509" s="2177">
        <v>0</v>
      </c>
      <c r="Y509" s="1607">
        <v>0</v>
      </c>
      <c r="Z509" s="1629" t="s">
        <v>72</v>
      </c>
      <c r="AA509" s="2297" t="s">
        <v>6</v>
      </c>
      <c r="AB509" s="2299" t="s">
        <v>1073</v>
      </c>
      <c r="AC509" s="2547" t="s">
        <v>79</v>
      </c>
      <c r="AD509" s="2548">
        <v>1</v>
      </c>
      <c r="AE509" s="1631" t="s">
        <v>180</v>
      </c>
      <c r="AF509" s="1631" t="s">
        <v>863</v>
      </c>
    </row>
    <row r="510" spans="1:32" ht="26.4" outlineLevel="1" x14ac:dyDescent="0.25">
      <c r="A510" s="222" t="s">
        <v>1510</v>
      </c>
      <c r="B510" s="222" t="s">
        <v>75</v>
      </c>
      <c r="C510" s="1966" t="s">
        <v>1511</v>
      </c>
      <c r="D510" s="1629" t="s">
        <v>1657</v>
      </c>
      <c r="E510" s="1645" t="s">
        <v>143</v>
      </c>
      <c r="F510" s="1645" t="s">
        <v>1512</v>
      </c>
      <c r="G510" s="1790">
        <v>9000</v>
      </c>
      <c r="H510" s="1341">
        <v>0</v>
      </c>
      <c r="I510" s="1572">
        <v>0</v>
      </c>
      <c r="J510" s="1606">
        <v>0</v>
      </c>
      <c r="K510" s="1572">
        <v>0</v>
      </c>
      <c r="L510" s="1573">
        <f t="shared" si="43"/>
        <v>1000</v>
      </c>
      <c r="M510" s="1191">
        <v>1000</v>
      </c>
      <c r="N510" s="231">
        <v>0</v>
      </c>
      <c r="O510" s="1615">
        <f t="shared" si="41"/>
        <v>1000</v>
      </c>
      <c r="P510" s="2295">
        <v>8000</v>
      </c>
      <c r="Q510" s="2546">
        <v>0</v>
      </c>
      <c r="R510" s="2178">
        <v>0</v>
      </c>
      <c r="S510" s="2179">
        <v>0</v>
      </c>
      <c r="T510" s="2546">
        <v>0</v>
      </c>
      <c r="U510" s="1572">
        <v>0</v>
      </c>
      <c r="V510" s="1574">
        <v>0</v>
      </c>
      <c r="W510" s="1574">
        <v>0</v>
      </c>
      <c r="X510" s="2177">
        <v>0</v>
      </c>
      <c r="Y510" s="1607">
        <v>0</v>
      </c>
      <c r="Z510" s="1629" t="s">
        <v>72</v>
      </c>
      <c r="AA510" s="2297" t="s">
        <v>8</v>
      </c>
      <c r="AB510" s="2299" t="s">
        <v>533</v>
      </c>
      <c r="AC510" s="2547" t="s">
        <v>79</v>
      </c>
      <c r="AD510" s="2548">
        <v>1</v>
      </c>
      <c r="AE510" s="1631" t="s">
        <v>560</v>
      </c>
      <c r="AF510" s="1631" t="s">
        <v>657</v>
      </c>
    </row>
    <row r="511" spans="1:32" ht="31.8" outlineLevel="1" thickBot="1" x14ac:dyDescent="0.3">
      <c r="A511" s="226" t="s">
        <v>1516</v>
      </c>
      <c r="B511" s="226" t="s">
        <v>75</v>
      </c>
      <c r="C511" s="1967" t="s">
        <v>1517</v>
      </c>
      <c r="D511" s="1661" t="s">
        <v>1657</v>
      </c>
      <c r="E511" s="1662" t="s">
        <v>1507</v>
      </c>
      <c r="F511" s="1662" t="s">
        <v>1507</v>
      </c>
      <c r="G511" s="1802">
        <v>3200</v>
      </c>
      <c r="H511" s="1364">
        <v>0</v>
      </c>
      <c r="I511" s="1567">
        <v>0</v>
      </c>
      <c r="J511" s="1593">
        <v>369.7176</v>
      </c>
      <c r="K511" s="1567">
        <v>0</v>
      </c>
      <c r="L511" s="1568">
        <f t="shared" si="43"/>
        <v>3200</v>
      </c>
      <c r="M511" s="1218">
        <v>3200</v>
      </c>
      <c r="N511" s="224">
        <v>0</v>
      </c>
      <c r="O511" s="1619">
        <f t="shared" si="41"/>
        <v>3200</v>
      </c>
      <c r="P511" s="2350">
        <v>0</v>
      </c>
      <c r="Q511" s="2558">
        <v>0</v>
      </c>
      <c r="R511" s="2341">
        <v>0</v>
      </c>
      <c r="S511" s="2342">
        <v>0</v>
      </c>
      <c r="T511" s="2558">
        <v>0</v>
      </c>
      <c r="U511" s="1567">
        <v>0</v>
      </c>
      <c r="V511" s="1590">
        <v>0</v>
      </c>
      <c r="W511" s="1590">
        <v>0</v>
      </c>
      <c r="X511" s="2199">
        <v>0</v>
      </c>
      <c r="Y511" s="1600">
        <v>0</v>
      </c>
      <c r="Z511" s="1661" t="s">
        <v>72</v>
      </c>
      <c r="AA511" s="1670" t="s">
        <v>10</v>
      </c>
      <c r="AB511" s="2356" t="s">
        <v>382</v>
      </c>
      <c r="AC511" s="2542" t="s">
        <v>80</v>
      </c>
      <c r="AD511" s="2543">
        <v>1</v>
      </c>
      <c r="AE511" s="1663" t="s">
        <v>180</v>
      </c>
      <c r="AF511" s="1663" t="s">
        <v>863</v>
      </c>
    </row>
    <row r="512" spans="1:32" outlineLevel="1" x14ac:dyDescent="0.25">
      <c r="A512" s="720" t="s">
        <v>1715</v>
      </c>
      <c r="B512" s="720" t="s">
        <v>75</v>
      </c>
      <c r="C512" s="721" t="s">
        <v>1716</v>
      </c>
      <c r="D512" s="33" t="s">
        <v>75</v>
      </c>
      <c r="E512" s="33" t="s">
        <v>240</v>
      </c>
      <c r="F512" s="33" t="s">
        <v>240</v>
      </c>
      <c r="G512" s="722">
        <v>17000</v>
      </c>
      <c r="H512" s="723">
        <v>0</v>
      </c>
      <c r="I512" s="727">
        <v>0</v>
      </c>
      <c r="J512" s="729">
        <v>0</v>
      </c>
      <c r="K512" s="727">
        <v>0</v>
      </c>
      <c r="L512" s="729">
        <f t="shared" si="43"/>
        <v>600</v>
      </c>
      <c r="M512" s="724">
        <v>0</v>
      </c>
      <c r="N512" s="725">
        <v>600</v>
      </c>
      <c r="O512" s="725">
        <f t="shared" si="41"/>
        <v>600</v>
      </c>
      <c r="P512" s="726">
        <v>1000</v>
      </c>
      <c r="Q512" s="726">
        <v>15400</v>
      </c>
      <c r="R512" s="756">
        <v>0</v>
      </c>
      <c r="S512" s="202">
        <v>0</v>
      </c>
      <c r="T512" s="108">
        <v>0</v>
      </c>
      <c r="U512" s="727">
        <v>0</v>
      </c>
      <c r="V512" s="728">
        <v>0</v>
      </c>
      <c r="W512" s="728">
        <v>0</v>
      </c>
      <c r="X512" s="728">
        <v>0</v>
      </c>
      <c r="Y512" s="729">
        <v>0</v>
      </c>
      <c r="Z512" s="33" t="s">
        <v>1744</v>
      </c>
      <c r="AA512" s="206" t="s">
        <v>6</v>
      </c>
      <c r="AB512" s="332" t="s">
        <v>1311</v>
      </c>
      <c r="AC512" s="206" t="s">
        <v>79</v>
      </c>
      <c r="AD512" s="1009">
        <v>1</v>
      </c>
      <c r="AE512" s="978" t="s">
        <v>166</v>
      </c>
      <c r="AF512" s="978" t="s">
        <v>863</v>
      </c>
    </row>
    <row r="513" spans="1:32" outlineLevel="1" x14ac:dyDescent="0.25">
      <c r="A513" s="730" t="s">
        <v>1717</v>
      </c>
      <c r="B513" s="730" t="s">
        <v>75</v>
      </c>
      <c r="C513" s="297" t="s">
        <v>1718</v>
      </c>
      <c r="D513" s="31" t="s">
        <v>75</v>
      </c>
      <c r="E513" s="31" t="s">
        <v>1719</v>
      </c>
      <c r="F513" s="31" t="s">
        <v>1719</v>
      </c>
      <c r="G513" s="731">
        <v>8000</v>
      </c>
      <c r="H513" s="732">
        <v>0</v>
      </c>
      <c r="I513" s="736">
        <v>0</v>
      </c>
      <c r="J513" s="738">
        <v>0</v>
      </c>
      <c r="K513" s="736">
        <v>0</v>
      </c>
      <c r="L513" s="738">
        <f t="shared" si="43"/>
        <v>0</v>
      </c>
      <c r="M513" s="733">
        <v>0</v>
      </c>
      <c r="N513" s="734">
        <v>0</v>
      </c>
      <c r="O513" s="734">
        <f t="shared" si="41"/>
        <v>0</v>
      </c>
      <c r="P513" s="65">
        <v>8000</v>
      </c>
      <c r="Q513" s="65">
        <v>0</v>
      </c>
      <c r="R513" s="756">
        <v>0</v>
      </c>
      <c r="S513" s="202">
        <v>0</v>
      </c>
      <c r="T513" s="754">
        <v>0</v>
      </c>
      <c r="U513" s="736">
        <v>0</v>
      </c>
      <c r="V513" s="737">
        <v>0</v>
      </c>
      <c r="W513" s="737">
        <v>0</v>
      </c>
      <c r="X513" s="737">
        <v>0</v>
      </c>
      <c r="Y513" s="738">
        <v>0</v>
      </c>
      <c r="Z513" s="31" t="s">
        <v>1720</v>
      </c>
      <c r="AA513" s="208" t="s">
        <v>8</v>
      </c>
      <c r="AB513" s="735" t="s">
        <v>1311</v>
      </c>
      <c r="AC513" s="208" t="s">
        <v>79</v>
      </c>
      <c r="AD513" s="1008">
        <v>1</v>
      </c>
      <c r="AE513" s="978" t="s">
        <v>178</v>
      </c>
      <c r="AF513" s="964" t="s">
        <v>863</v>
      </c>
    </row>
    <row r="514" spans="1:32" ht="39.6" outlineLevel="1" x14ac:dyDescent="0.25">
      <c r="A514" s="730" t="s">
        <v>1721</v>
      </c>
      <c r="B514" s="730" t="s">
        <v>75</v>
      </c>
      <c r="C514" s="297" t="s">
        <v>1722</v>
      </c>
      <c r="D514" s="31" t="s">
        <v>75</v>
      </c>
      <c r="E514" s="31" t="s">
        <v>4</v>
      </c>
      <c r="F514" s="31" t="s">
        <v>127</v>
      </c>
      <c r="G514" s="731">
        <v>14000</v>
      </c>
      <c r="H514" s="732">
        <v>0</v>
      </c>
      <c r="I514" s="736">
        <v>0</v>
      </c>
      <c r="J514" s="738">
        <v>0</v>
      </c>
      <c r="K514" s="736">
        <v>0</v>
      </c>
      <c r="L514" s="738">
        <f t="shared" si="43"/>
        <v>0</v>
      </c>
      <c r="M514" s="733">
        <v>0</v>
      </c>
      <c r="N514" s="734">
        <v>0</v>
      </c>
      <c r="O514" s="734">
        <f t="shared" si="41"/>
        <v>0</v>
      </c>
      <c r="P514" s="65">
        <v>14000</v>
      </c>
      <c r="Q514" s="65">
        <v>0</v>
      </c>
      <c r="R514" s="756">
        <v>0</v>
      </c>
      <c r="S514" s="202">
        <v>0</v>
      </c>
      <c r="T514" s="754">
        <v>0</v>
      </c>
      <c r="U514" s="736">
        <v>0</v>
      </c>
      <c r="V514" s="737">
        <v>0</v>
      </c>
      <c r="W514" s="737">
        <v>0</v>
      </c>
      <c r="X514" s="737">
        <v>0</v>
      </c>
      <c r="Y514" s="738">
        <v>0</v>
      </c>
      <c r="Z514" s="31" t="s">
        <v>1745</v>
      </c>
      <c r="AA514" s="208" t="s">
        <v>6</v>
      </c>
      <c r="AB514" s="735" t="s">
        <v>533</v>
      </c>
      <c r="AC514" s="208" t="s">
        <v>79</v>
      </c>
      <c r="AD514" s="1008">
        <v>1</v>
      </c>
      <c r="AE514" s="978" t="s">
        <v>166</v>
      </c>
      <c r="AF514" s="964" t="s">
        <v>863</v>
      </c>
    </row>
    <row r="515" spans="1:32" ht="31.2" outlineLevel="1" x14ac:dyDescent="0.25">
      <c r="A515" s="730" t="s">
        <v>1721</v>
      </c>
      <c r="B515" s="730" t="s">
        <v>1737</v>
      </c>
      <c r="C515" s="297" t="s">
        <v>1723</v>
      </c>
      <c r="D515" s="31" t="s">
        <v>75</v>
      </c>
      <c r="E515" s="31" t="s">
        <v>1724</v>
      </c>
      <c r="F515" s="31" t="s">
        <v>1724</v>
      </c>
      <c r="G515" s="731">
        <v>7500</v>
      </c>
      <c r="H515" s="732">
        <v>0</v>
      </c>
      <c r="I515" s="736">
        <v>0</v>
      </c>
      <c r="J515" s="738">
        <v>0</v>
      </c>
      <c r="K515" s="736">
        <v>0</v>
      </c>
      <c r="L515" s="738">
        <f t="shared" si="43"/>
        <v>2000</v>
      </c>
      <c r="M515" s="733">
        <v>0</v>
      </c>
      <c r="N515" s="734">
        <v>2000</v>
      </c>
      <c r="O515" s="734">
        <f t="shared" si="41"/>
        <v>2000</v>
      </c>
      <c r="P515" s="65">
        <v>5500</v>
      </c>
      <c r="Q515" s="65">
        <v>0</v>
      </c>
      <c r="R515" s="756">
        <v>0</v>
      </c>
      <c r="S515" s="202">
        <v>0</v>
      </c>
      <c r="T515" s="754">
        <v>0</v>
      </c>
      <c r="U515" s="736">
        <v>0</v>
      </c>
      <c r="V515" s="737">
        <v>0</v>
      </c>
      <c r="W515" s="737">
        <v>0</v>
      </c>
      <c r="X515" s="737">
        <v>0</v>
      </c>
      <c r="Y515" s="738">
        <v>0</v>
      </c>
      <c r="Z515" s="31" t="s">
        <v>1746</v>
      </c>
      <c r="AA515" s="208" t="s">
        <v>10</v>
      </c>
      <c r="AB515" s="735" t="s">
        <v>450</v>
      </c>
      <c r="AC515" s="208" t="s">
        <v>80</v>
      </c>
      <c r="AD515" s="1008">
        <v>1</v>
      </c>
      <c r="AE515" s="978" t="s">
        <v>175</v>
      </c>
      <c r="AF515" s="964" t="s">
        <v>863</v>
      </c>
    </row>
    <row r="516" spans="1:32" outlineLevel="1" x14ac:dyDescent="0.25">
      <c r="A516" s="730" t="s">
        <v>1725</v>
      </c>
      <c r="B516" s="730" t="s">
        <v>75</v>
      </c>
      <c r="C516" s="297" t="s">
        <v>1726</v>
      </c>
      <c r="D516" s="31" t="s">
        <v>75</v>
      </c>
      <c r="E516" s="31" t="s">
        <v>1727</v>
      </c>
      <c r="F516" s="31" t="s">
        <v>127</v>
      </c>
      <c r="G516" s="731">
        <v>2455</v>
      </c>
      <c r="H516" s="732">
        <v>0</v>
      </c>
      <c r="I516" s="736">
        <v>0</v>
      </c>
      <c r="J516" s="738">
        <v>0</v>
      </c>
      <c r="K516" s="736">
        <v>0</v>
      </c>
      <c r="L516" s="738">
        <f t="shared" si="43"/>
        <v>2455</v>
      </c>
      <c r="M516" s="733">
        <v>0</v>
      </c>
      <c r="N516" s="734">
        <v>2455</v>
      </c>
      <c r="O516" s="734">
        <f t="shared" si="41"/>
        <v>2455</v>
      </c>
      <c r="P516" s="65">
        <v>0</v>
      </c>
      <c r="Q516" s="65">
        <v>0</v>
      </c>
      <c r="R516" s="756">
        <v>0</v>
      </c>
      <c r="S516" s="202">
        <v>0</v>
      </c>
      <c r="T516" s="754">
        <v>0</v>
      </c>
      <c r="U516" s="736">
        <v>0</v>
      </c>
      <c r="V516" s="737">
        <v>0</v>
      </c>
      <c r="W516" s="737">
        <v>0</v>
      </c>
      <c r="X516" s="737">
        <v>0</v>
      </c>
      <c r="Y516" s="738">
        <v>0</v>
      </c>
      <c r="Z516" s="31" t="s">
        <v>1728</v>
      </c>
      <c r="AA516" s="208" t="s">
        <v>6</v>
      </c>
      <c r="AB516" s="735" t="s">
        <v>533</v>
      </c>
      <c r="AC516" s="208" t="s">
        <v>79</v>
      </c>
      <c r="AD516" s="1008">
        <v>1</v>
      </c>
      <c r="AE516" s="978" t="s">
        <v>166</v>
      </c>
      <c r="AF516" s="964" t="s">
        <v>863</v>
      </c>
    </row>
    <row r="517" spans="1:32" outlineLevel="1" x14ac:dyDescent="0.25">
      <c r="A517" s="730" t="s">
        <v>1729</v>
      </c>
      <c r="B517" s="730" t="s">
        <v>75</v>
      </c>
      <c r="C517" s="297" t="s">
        <v>1730</v>
      </c>
      <c r="D517" s="31" t="s">
        <v>75</v>
      </c>
      <c r="E517" s="31" t="s">
        <v>127</v>
      </c>
      <c r="F517" s="31" t="s">
        <v>127</v>
      </c>
      <c r="G517" s="731">
        <v>3304</v>
      </c>
      <c r="H517" s="732">
        <v>0</v>
      </c>
      <c r="I517" s="736">
        <v>0</v>
      </c>
      <c r="J517" s="738">
        <v>0</v>
      </c>
      <c r="K517" s="736">
        <v>0</v>
      </c>
      <c r="L517" s="738">
        <f t="shared" si="43"/>
        <v>3304</v>
      </c>
      <c r="M517" s="733">
        <v>0</v>
      </c>
      <c r="N517" s="734">
        <v>3304</v>
      </c>
      <c r="O517" s="734">
        <f t="shared" si="41"/>
        <v>3304</v>
      </c>
      <c r="P517" s="65">
        <v>0</v>
      </c>
      <c r="Q517" s="65">
        <v>0</v>
      </c>
      <c r="R517" s="756">
        <v>0</v>
      </c>
      <c r="S517" s="202">
        <v>0</v>
      </c>
      <c r="T517" s="754">
        <v>0</v>
      </c>
      <c r="U517" s="736">
        <v>0</v>
      </c>
      <c r="V517" s="737">
        <v>0</v>
      </c>
      <c r="W517" s="737">
        <v>0</v>
      </c>
      <c r="X517" s="737">
        <v>0</v>
      </c>
      <c r="Y517" s="738">
        <v>0</v>
      </c>
      <c r="Z517" s="31" t="s">
        <v>1731</v>
      </c>
      <c r="AA517" s="208" t="s">
        <v>6</v>
      </c>
      <c r="AB517" s="735" t="s">
        <v>533</v>
      </c>
      <c r="AC517" s="208" t="s">
        <v>79</v>
      </c>
      <c r="AD517" s="1008">
        <v>1</v>
      </c>
      <c r="AE517" s="978" t="s">
        <v>166</v>
      </c>
      <c r="AF517" s="964" t="s">
        <v>863</v>
      </c>
    </row>
    <row r="518" spans="1:32" outlineLevel="1" x14ac:dyDescent="0.25">
      <c r="A518" s="730" t="s">
        <v>1732</v>
      </c>
      <c r="B518" s="730" t="s">
        <v>75</v>
      </c>
      <c r="C518" s="297" t="s">
        <v>1733</v>
      </c>
      <c r="D518" s="31" t="s">
        <v>75</v>
      </c>
      <c r="E518" s="31" t="s">
        <v>53</v>
      </c>
      <c r="F518" s="31" t="s">
        <v>53</v>
      </c>
      <c r="G518" s="731">
        <v>1680</v>
      </c>
      <c r="H518" s="732">
        <v>0</v>
      </c>
      <c r="I518" s="736">
        <v>0</v>
      </c>
      <c r="J518" s="738">
        <v>0</v>
      </c>
      <c r="K518" s="736">
        <v>0</v>
      </c>
      <c r="L518" s="738">
        <f t="shared" si="43"/>
        <v>1680</v>
      </c>
      <c r="M518" s="733">
        <v>0</v>
      </c>
      <c r="N518" s="734">
        <v>1680</v>
      </c>
      <c r="O518" s="734">
        <f t="shared" si="41"/>
        <v>1680</v>
      </c>
      <c r="P518" s="65">
        <v>0</v>
      </c>
      <c r="Q518" s="65">
        <v>0</v>
      </c>
      <c r="R518" s="756">
        <v>0</v>
      </c>
      <c r="S518" s="202">
        <v>0</v>
      </c>
      <c r="T518" s="754">
        <v>0</v>
      </c>
      <c r="U518" s="736">
        <v>0</v>
      </c>
      <c r="V518" s="737">
        <v>0</v>
      </c>
      <c r="W518" s="737">
        <v>0</v>
      </c>
      <c r="X518" s="737">
        <v>0</v>
      </c>
      <c r="Y518" s="738">
        <v>0</v>
      </c>
      <c r="Z518" s="31" t="s">
        <v>1734</v>
      </c>
      <c r="AA518" s="208" t="s">
        <v>6</v>
      </c>
      <c r="AB518" s="735" t="s">
        <v>533</v>
      </c>
      <c r="AC518" s="208" t="s">
        <v>79</v>
      </c>
      <c r="AD518" s="1008">
        <v>1</v>
      </c>
      <c r="AE518" s="978" t="s">
        <v>184</v>
      </c>
      <c r="AF518" s="964" t="s">
        <v>863</v>
      </c>
    </row>
    <row r="519" spans="1:32" ht="16.2" outlineLevel="1" thickBot="1" x14ac:dyDescent="0.3">
      <c r="A519" s="78" t="s">
        <v>84</v>
      </c>
      <c r="B519" s="78" t="s">
        <v>84</v>
      </c>
      <c r="C519" s="1633" t="s">
        <v>84</v>
      </c>
      <c r="D519" s="78" t="s">
        <v>84</v>
      </c>
      <c r="E519" s="1667" t="s">
        <v>84</v>
      </c>
      <c r="F519" s="78" t="s">
        <v>84</v>
      </c>
      <c r="G519" s="78" t="s">
        <v>84</v>
      </c>
      <c r="H519" s="38" t="s">
        <v>84</v>
      </c>
      <c r="I519" s="120" t="s">
        <v>84</v>
      </c>
      <c r="J519" s="79" t="s">
        <v>84</v>
      </c>
      <c r="K519" s="86" t="s">
        <v>84</v>
      </c>
      <c r="L519" s="410" t="s">
        <v>84</v>
      </c>
      <c r="M519" s="38" t="s">
        <v>84</v>
      </c>
      <c r="N519" s="38" t="s">
        <v>84</v>
      </c>
      <c r="O519" s="38" t="s">
        <v>84</v>
      </c>
      <c r="P519" s="78" t="s">
        <v>84</v>
      </c>
      <c r="Q519" s="1667" t="s">
        <v>84</v>
      </c>
      <c r="R519" s="2570" t="s">
        <v>84</v>
      </c>
      <c r="S519" s="2571" t="s">
        <v>84</v>
      </c>
      <c r="T519" s="1667" t="s">
        <v>84</v>
      </c>
      <c r="U519" s="2570" t="s">
        <v>84</v>
      </c>
      <c r="V519" s="2572" t="s">
        <v>84</v>
      </c>
      <c r="W519" s="2572" t="s">
        <v>84</v>
      </c>
      <c r="X519" s="2571" t="s">
        <v>84</v>
      </c>
      <c r="Y519" s="1792" t="s">
        <v>84</v>
      </c>
      <c r="Z519" s="78" t="s">
        <v>84</v>
      </c>
      <c r="AA519" s="2508" t="s">
        <v>84</v>
      </c>
      <c r="AB519" s="2573" t="s">
        <v>84</v>
      </c>
      <c r="AC519" s="2573" t="s">
        <v>84</v>
      </c>
      <c r="AD519" s="2508" t="s">
        <v>84</v>
      </c>
      <c r="AE519" s="2508" t="s">
        <v>84</v>
      </c>
      <c r="AF519" s="2508" t="s">
        <v>84</v>
      </c>
    </row>
    <row r="520" spans="1:32" s="967" customFormat="1" ht="27" thickBot="1" x14ac:dyDescent="0.3">
      <c r="A520" s="272" t="s">
        <v>92</v>
      </c>
      <c r="B520" s="273"/>
      <c r="C520" s="279"/>
      <c r="D520" s="7" t="s">
        <v>72</v>
      </c>
      <c r="E520" s="384" t="s">
        <v>72</v>
      </c>
      <c r="F520" s="359" t="s">
        <v>72</v>
      </c>
      <c r="G520" s="166">
        <f>SUM(G452:G519)</f>
        <v>835978.90676000004</v>
      </c>
      <c r="H520" s="166">
        <f t="shared" ref="H520:Y520" si="44">SUM(H452:H519)</f>
        <v>62385.575389999991</v>
      </c>
      <c r="I520" s="166">
        <f t="shared" si="44"/>
        <v>25292.302250000001</v>
      </c>
      <c r="J520" s="166">
        <f t="shared" si="44"/>
        <v>34137.826720000012</v>
      </c>
      <c r="K520" s="166">
        <f t="shared" si="44"/>
        <v>25292.302250000001</v>
      </c>
      <c r="L520" s="166">
        <f t="shared" si="44"/>
        <v>150471.40683999995</v>
      </c>
      <c r="M520" s="166">
        <f t="shared" si="44"/>
        <v>272564.83165999997</v>
      </c>
      <c r="N520" s="166">
        <f t="shared" si="44"/>
        <v>-96801.122569999992</v>
      </c>
      <c r="O520" s="166">
        <f t="shared" ref="O520:O541" si="45">M520+N520</f>
        <v>175763.70908999996</v>
      </c>
      <c r="P520" s="166">
        <f t="shared" si="44"/>
        <v>399098.56900000002</v>
      </c>
      <c r="Q520" s="166">
        <f t="shared" si="44"/>
        <v>181283.3</v>
      </c>
      <c r="R520" s="166">
        <f t="shared" si="44"/>
        <v>14827.753280000001</v>
      </c>
      <c r="S520" s="166">
        <f t="shared" si="44"/>
        <v>0</v>
      </c>
      <c r="T520" s="167">
        <f t="shared" si="44"/>
        <v>2620</v>
      </c>
      <c r="U520" s="166">
        <f t="shared" si="44"/>
        <v>255045</v>
      </c>
      <c r="V520" s="166">
        <f t="shared" si="44"/>
        <v>3155.6150000000002</v>
      </c>
      <c r="W520" s="166">
        <f t="shared" si="44"/>
        <v>3.0249999999999999</v>
      </c>
      <c r="X520" s="166">
        <f t="shared" si="44"/>
        <v>35138.890000000007</v>
      </c>
      <c r="Y520" s="166">
        <f t="shared" si="44"/>
        <v>216750.495</v>
      </c>
      <c r="Z520" s="351" t="s">
        <v>1655</v>
      </c>
      <c r="AA520" s="7" t="s">
        <v>72</v>
      </c>
      <c r="AB520" s="361" t="s">
        <v>72</v>
      </c>
      <c r="AC520" s="9" t="s">
        <v>72</v>
      </c>
      <c r="AD520" s="9" t="s">
        <v>72</v>
      </c>
      <c r="AE520" s="359" t="s">
        <v>72</v>
      </c>
      <c r="AF520" s="359" t="s">
        <v>72</v>
      </c>
    </row>
    <row r="521" spans="1:32" ht="40.200000000000003" outlineLevel="1" thickBot="1" x14ac:dyDescent="0.3">
      <c r="A521" s="227" t="s">
        <v>222</v>
      </c>
      <c r="B521" s="1691" t="s">
        <v>343</v>
      </c>
      <c r="C521" s="1829" t="s">
        <v>56</v>
      </c>
      <c r="D521" s="2" t="s">
        <v>1042</v>
      </c>
      <c r="E521" s="1830" t="s">
        <v>4</v>
      </c>
      <c r="F521" s="1638" t="s">
        <v>4</v>
      </c>
      <c r="G521" s="1639">
        <v>31100</v>
      </c>
      <c r="H521" s="1175">
        <v>4855.1123799999996</v>
      </c>
      <c r="I521" s="1176">
        <v>57.898499999999999</v>
      </c>
      <c r="J521" s="1177">
        <v>6877.5984699999999</v>
      </c>
      <c r="K521" s="1178">
        <v>57.898499999999999</v>
      </c>
      <c r="L521" s="1179">
        <f>O521-K521</f>
        <v>13942.101500000002</v>
      </c>
      <c r="M521" s="1180">
        <v>14000.000000000002</v>
      </c>
      <c r="N521" s="230">
        <v>0</v>
      </c>
      <c r="O521" s="1992">
        <f t="shared" si="45"/>
        <v>14000.000000000002</v>
      </c>
      <c r="P521" s="2438">
        <v>6000</v>
      </c>
      <c r="Q521" s="2438">
        <f>6246-1.11238</f>
        <v>6244.8876200000004</v>
      </c>
      <c r="R521" s="1337">
        <v>0</v>
      </c>
      <c r="S521" s="1994">
        <v>0</v>
      </c>
      <c r="T521" s="1993">
        <v>0</v>
      </c>
      <c r="U521" s="1346">
        <v>0</v>
      </c>
      <c r="V521" s="1205">
        <v>0</v>
      </c>
      <c r="W521" s="1205">
        <v>0</v>
      </c>
      <c r="X521" s="2574">
        <v>0</v>
      </c>
      <c r="Y521" s="1995">
        <v>0</v>
      </c>
      <c r="Z521" s="1996" t="s">
        <v>72</v>
      </c>
      <c r="AA521" s="2" t="s">
        <v>10</v>
      </c>
      <c r="AB521" s="1997" t="s">
        <v>73</v>
      </c>
      <c r="AC521" s="1997" t="s">
        <v>80</v>
      </c>
      <c r="AD521" s="1997" t="s">
        <v>89</v>
      </c>
      <c r="AE521" s="1638" t="s">
        <v>75</v>
      </c>
      <c r="AF521" s="1638" t="s">
        <v>646</v>
      </c>
    </row>
    <row r="522" spans="1:32" ht="46.8" outlineLevel="1" x14ac:dyDescent="0.25">
      <c r="A522" s="225" t="s">
        <v>223</v>
      </c>
      <c r="B522" s="1640" t="s">
        <v>344</v>
      </c>
      <c r="C522" s="1641" t="s">
        <v>5</v>
      </c>
      <c r="D522" s="1642" t="s">
        <v>1043</v>
      </c>
      <c r="E522" s="1678" t="s">
        <v>4</v>
      </c>
      <c r="F522" s="1644" t="s">
        <v>4</v>
      </c>
      <c r="G522" s="1499">
        <v>12253.684719999999</v>
      </c>
      <c r="H522" s="1164">
        <v>1989.24</v>
      </c>
      <c r="I522" s="1165">
        <v>2294.16</v>
      </c>
      <c r="J522" s="1166">
        <v>60.5</v>
      </c>
      <c r="K522" s="1235">
        <v>2294.16</v>
      </c>
      <c r="L522" s="1236">
        <f>O522-K522</f>
        <v>2499.84</v>
      </c>
      <c r="M522" s="1169">
        <v>4794</v>
      </c>
      <c r="N522" s="229">
        <v>0</v>
      </c>
      <c r="O522" s="1617">
        <f t="shared" si="45"/>
        <v>4794</v>
      </c>
      <c r="P522" s="1169">
        <v>3000</v>
      </c>
      <c r="Q522" s="1169">
        <f>2470+0.44472</f>
        <v>2470.44472</v>
      </c>
      <c r="R522" s="2038">
        <v>0</v>
      </c>
      <c r="S522" s="2039">
        <v>0</v>
      </c>
      <c r="T522" s="2231">
        <v>0</v>
      </c>
      <c r="U522" s="1237">
        <v>0</v>
      </c>
      <c r="V522" s="1184">
        <v>0</v>
      </c>
      <c r="W522" s="1184">
        <v>0</v>
      </c>
      <c r="X522" s="1184">
        <v>0</v>
      </c>
      <c r="Y522" s="1618">
        <v>0</v>
      </c>
      <c r="Z522" s="2017" t="s">
        <v>72</v>
      </c>
      <c r="AA522" s="1642" t="s">
        <v>10</v>
      </c>
      <c r="AB522" s="2002" t="s">
        <v>73</v>
      </c>
      <c r="AC522" s="2002" t="s">
        <v>80</v>
      </c>
      <c r="AD522" s="2002" t="s">
        <v>89</v>
      </c>
      <c r="AE522" s="1644" t="s">
        <v>75</v>
      </c>
      <c r="AF522" s="1644" t="s">
        <v>646</v>
      </c>
    </row>
    <row r="523" spans="1:32" ht="16.2" outlineLevel="1" thickBot="1" x14ac:dyDescent="0.3">
      <c r="A523" s="20" t="s">
        <v>84</v>
      </c>
      <c r="B523" s="269" t="s">
        <v>84</v>
      </c>
      <c r="C523" s="1968" t="s">
        <v>84</v>
      </c>
      <c r="D523" s="78" t="s">
        <v>84</v>
      </c>
      <c r="E523" s="164" t="s">
        <v>84</v>
      </c>
      <c r="F523" s="203" t="s">
        <v>84</v>
      </c>
      <c r="G523" s="972" t="s">
        <v>84</v>
      </c>
      <c r="H523" s="1224" t="s">
        <v>84</v>
      </c>
      <c r="I523" s="1225" t="s">
        <v>84</v>
      </c>
      <c r="J523" s="1226" t="s">
        <v>84</v>
      </c>
      <c r="K523" s="1227" t="s">
        <v>84</v>
      </c>
      <c r="L523" s="1228" t="s">
        <v>84</v>
      </c>
      <c r="M523" s="38" t="s">
        <v>84</v>
      </c>
      <c r="N523" s="79" t="s">
        <v>84</v>
      </c>
      <c r="O523" s="1218" t="s">
        <v>84</v>
      </c>
      <c r="P523" s="38" t="s">
        <v>84</v>
      </c>
      <c r="Q523" s="83" t="s">
        <v>84</v>
      </c>
      <c r="R523" s="120" t="s">
        <v>84</v>
      </c>
      <c r="S523" s="84" t="s">
        <v>84</v>
      </c>
      <c r="T523" s="83" t="s">
        <v>84</v>
      </c>
      <c r="U523" s="120" t="s">
        <v>84</v>
      </c>
      <c r="V523" s="86" t="s">
        <v>84</v>
      </c>
      <c r="W523" s="86" t="s">
        <v>84</v>
      </c>
      <c r="X523" s="2024" t="s">
        <v>84</v>
      </c>
      <c r="Y523" s="79" t="s">
        <v>84</v>
      </c>
      <c r="Z523" s="38" t="s">
        <v>84</v>
      </c>
      <c r="AA523" s="78" t="s">
        <v>84</v>
      </c>
      <c r="AB523" s="21" t="s">
        <v>84</v>
      </c>
      <c r="AC523" s="20" t="s">
        <v>84</v>
      </c>
      <c r="AD523" s="20" t="s">
        <v>84</v>
      </c>
      <c r="AE523" s="203" t="s">
        <v>84</v>
      </c>
      <c r="AF523" s="203" t="s">
        <v>84</v>
      </c>
    </row>
    <row r="524" spans="1:32" s="967" customFormat="1" ht="18" thickBot="1" x14ac:dyDescent="0.3">
      <c r="A524" s="272" t="s">
        <v>161</v>
      </c>
      <c r="B524" s="273"/>
      <c r="C524" s="279"/>
      <c r="D524" s="7" t="s">
        <v>72</v>
      </c>
      <c r="E524" s="384" t="s">
        <v>72</v>
      </c>
      <c r="F524" s="359" t="s">
        <v>72</v>
      </c>
      <c r="G524" s="166">
        <f>SUM(G521:G523)</f>
        <v>43353.684719999997</v>
      </c>
      <c r="H524" s="166">
        <f t="shared" ref="H524:Y524" si="46">SUM(H521:H523)</f>
        <v>6844.3523799999994</v>
      </c>
      <c r="I524" s="166">
        <f t="shared" si="46"/>
        <v>2352.0584999999996</v>
      </c>
      <c r="J524" s="166">
        <f t="shared" si="46"/>
        <v>6938.0984699999999</v>
      </c>
      <c r="K524" s="166">
        <f t="shared" si="46"/>
        <v>2352.0584999999996</v>
      </c>
      <c r="L524" s="166">
        <f t="shared" si="46"/>
        <v>16441.941500000001</v>
      </c>
      <c r="M524" s="166">
        <f t="shared" si="46"/>
        <v>18794</v>
      </c>
      <c r="N524" s="166">
        <f t="shared" si="46"/>
        <v>0</v>
      </c>
      <c r="O524" s="166">
        <f t="shared" si="45"/>
        <v>18794</v>
      </c>
      <c r="P524" s="166">
        <f t="shared" si="46"/>
        <v>9000</v>
      </c>
      <c r="Q524" s="166">
        <f t="shared" si="46"/>
        <v>8715.3323400000008</v>
      </c>
      <c r="R524" s="166">
        <f t="shared" si="46"/>
        <v>0</v>
      </c>
      <c r="S524" s="166">
        <f t="shared" si="46"/>
        <v>0</v>
      </c>
      <c r="T524" s="167">
        <f t="shared" si="46"/>
        <v>0</v>
      </c>
      <c r="U524" s="166">
        <f t="shared" si="46"/>
        <v>0</v>
      </c>
      <c r="V524" s="166">
        <f t="shared" si="46"/>
        <v>0</v>
      </c>
      <c r="W524" s="166">
        <f t="shared" si="46"/>
        <v>0</v>
      </c>
      <c r="X524" s="166">
        <f t="shared" si="46"/>
        <v>0</v>
      </c>
      <c r="Y524" s="166">
        <f t="shared" si="46"/>
        <v>0</v>
      </c>
      <c r="Z524" s="7" t="s">
        <v>1224</v>
      </c>
      <c r="AA524" s="8" t="s">
        <v>72</v>
      </c>
      <c r="AB524" s="360" t="s">
        <v>72</v>
      </c>
      <c r="AC524" s="11" t="s">
        <v>72</v>
      </c>
      <c r="AD524" s="11" t="s">
        <v>72</v>
      </c>
      <c r="AE524" s="358" t="s">
        <v>72</v>
      </c>
      <c r="AF524" s="358" t="s">
        <v>72</v>
      </c>
    </row>
    <row r="525" spans="1:32" ht="27" outlineLevel="1" thickBot="1" x14ac:dyDescent="0.3">
      <c r="A525" s="467" t="s">
        <v>253</v>
      </c>
      <c r="B525" s="468" t="s">
        <v>351</v>
      </c>
      <c r="C525" s="469" t="s">
        <v>254</v>
      </c>
      <c r="D525" s="67" t="s">
        <v>1027</v>
      </c>
      <c r="E525" s="979" t="s">
        <v>14</v>
      </c>
      <c r="F525" s="286" t="s">
        <v>14</v>
      </c>
      <c r="G525" s="470">
        <v>700</v>
      </c>
      <c r="H525" s="472">
        <v>31.883500000000002</v>
      </c>
      <c r="I525" s="1012">
        <v>0</v>
      </c>
      <c r="J525" s="1013">
        <v>0</v>
      </c>
      <c r="K525" s="473">
        <v>0</v>
      </c>
      <c r="L525" s="474">
        <f t="shared" ref="L525:L544" si="47">O525-K525</f>
        <v>0.11649999999997362</v>
      </c>
      <c r="M525" s="477">
        <v>668.11649999999997</v>
      </c>
      <c r="N525" s="478">
        <v>-668</v>
      </c>
      <c r="O525" s="478">
        <f t="shared" si="45"/>
        <v>0.11649999999997362</v>
      </c>
      <c r="P525" s="479">
        <v>668</v>
      </c>
      <c r="Q525" s="479">
        <v>0</v>
      </c>
      <c r="R525" s="475">
        <v>0</v>
      </c>
      <c r="S525" s="521">
        <v>0</v>
      </c>
      <c r="T525" s="520">
        <v>0</v>
      </c>
      <c r="U525" s="480">
        <v>0</v>
      </c>
      <c r="V525" s="480">
        <v>0</v>
      </c>
      <c r="W525" s="480">
        <v>0</v>
      </c>
      <c r="X525" s="475">
        <v>0</v>
      </c>
      <c r="Y525" s="474">
        <v>0</v>
      </c>
      <c r="Z525" s="143" t="s">
        <v>1680</v>
      </c>
      <c r="AA525" s="143" t="s">
        <v>8</v>
      </c>
      <c r="AB525" s="427" t="s">
        <v>677</v>
      </c>
      <c r="AC525" s="187" t="s">
        <v>80</v>
      </c>
      <c r="AD525" s="427" t="s">
        <v>91</v>
      </c>
      <c r="AE525" s="969" t="s">
        <v>560</v>
      </c>
      <c r="AF525" s="969" t="s">
        <v>647</v>
      </c>
    </row>
    <row r="526" spans="1:32" ht="27" outlineLevel="1" thickBot="1" x14ac:dyDescent="0.3">
      <c r="A526" s="424" t="s">
        <v>278</v>
      </c>
      <c r="B526" s="1632" t="s">
        <v>75</v>
      </c>
      <c r="C526" s="277" t="s">
        <v>279</v>
      </c>
      <c r="D526" s="78" t="s">
        <v>1028</v>
      </c>
      <c r="E526" s="1969" t="s">
        <v>14</v>
      </c>
      <c r="F526" s="203" t="s">
        <v>14</v>
      </c>
      <c r="G526" s="1970">
        <v>5600</v>
      </c>
      <c r="H526" s="1312">
        <v>0</v>
      </c>
      <c r="I526" s="1610">
        <v>0</v>
      </c>
      <c r="J526" s="1611">
        <v>0</v>
      </c>
      <c r="K526" s="1246">
        <v>0</v>
      </c>
      <c r="L526" s="1612">
        <f t="shared" si="47"/>
        <v>1000</v>
      </c>
      <c r="M526" s="1343">
        <v>1000</v>
      </c>
      <c r="N526" s="178">
        <v>0</v>
      </c>
      <c r="O526" s="1613">
        <f t="shared" si="45"/>
        <v>1000</v>
      </c>
      <c r="P526" s="152">
        <v>3600</v>
      </c>
      <c r="Q526" s="152">
        <v>1000</v>
      </c>
      <c r="R526" s="1222">
        <v>0</v>
      </c>
      <c r="S526" s="2020">
        <v>0</v>
      </c>
      <c r="T526" s="1612">
        <v>0</v>
      </c>
      <c r="U526" s="2575">
        <v>0</v>
      </c>
      <c r="V526" s="2575">
        <v>0</v>
      </c>
      <c r="W526" s="2575">
        <v>0</v>
      </c>
      <c r="X526" s="1222">
        <v>0</v>
      </c>
      <c r="Y526" s="1612">
        <v>0</v>
      </c>
      <c r="Z526" s="78" t="s">
        <v>72</v>
      </c>
      <c r="AA526" s="78" t="s">
        <v>10</v>
      </c>
      <c r="AB526" s="72" t="s">
        <v>1073</v>
      </c>
      <c r="AC526" s="20" t="s">
        <v>79</v>
      </c>
      <c r="AD526" s="72" t="s">
        <v>88</v>
      </c>
      <c r="AE526" s="203" t="s">
        <v>75</v>
      </c>
      <c r="AF526" s="203" t="s">
        <v>646</v>
      </c>
    </row>
    <row r="527" spans="1:32" ht="27" outlineLevel="1" thickBot="1" x14ac:dyDescent="0.3">
      <c r="A527" s="299" t="s">
        <v>451</v>
      </c>
      <c r="B527" s="195" t="s">
        <v>75</v>
      </c>
      <c r="C527" s="277" t="s">
        <v>452</v>
      </c>
      <c r="D527" s="78" t="s">
        <v>1029</v>
      </c>
      <c r="E527" s="1792" t="s">
        <v>4</v>
      </c>
      <c r="F527" s="78" t="s">
        <v>4</v>
      </c>
      <c r="G527" s="1971">
        <v>100</v>
      </c>
      <c r="H527" s="1613">
        <v>0</v>
      </c>
      <c r="I527" s="1222">
        <v>0</v>
      </c>
      <c r="J527" s="1614">
        <v>0</v>
      </c>
      <c r="K527" s="1246">
        <v>0</v>
      </c>
      <c r="L527" s="1612">
        <f t="shared" si="47"/>
        <v>100</v>
      </c>
      <c r="M527" s="1343">
        <v>100</v>
      </c>
      <c r="N527" s="178">
        <v>0</v>
      </c>
      <c r="O527" s="1613">
        <f t="shared" si="45"/>
        <v>100</v>
      </c>
      <c r="P527" s="2576">
        <v>0</v>
      </c>
      <c r="Q527" s="2576">
        <v>0</v>
      </c>
      <c r="R527" s="2577">
        <v>0</v>
      </c>
      <c r="S527" s="2578">
        <v>0</v>
      </c>
      <c r="T527" s="2579">
        <v>0</v>
      </c>
      <c r="U527" s="2577">
        <v>0</v>
      </c>
      <c r="V527" s="2577">
        <v>0</v>
      </c>
      <c r="W527" s="2577">
        <v>0</v>
      </c>
      <c r="X527" s="2578">
        <v>0</v>
      </c>
      <c r="Y527" s="2579">
        <v>0</v>
      </c>
      <c r="Z527" s="78" t="s">
        <v>72</v>
      </c>
      <c r="AA527" s="78" t="s">
        <v>10</v>
      </c>
      <c r="AB527" s="72" t="s">
        <v>382</v>
      </c>
      <c r="AC527" s="78" t="s">
        <v>79</v>
      </c>
      <c r="AD527" s="1792">
        <v>3</v>
      </c>
      <c r="AE527" s="78" t="s">
        <v>75</v>
      </c>
      <c r="AF527" s="78" t="s">
        <v>646</v>
      </c>
    </row>
    <row r="528" spans="1:32" ht="26.4" outlineLevel="1" x14ac:dyDescent="0.25">
      <c r="A528" s="407" t="s">
        <v>666</v>
      </c>
      <c r="B528" s="225" t="s">
        <v>1192</v>
      </c>
      <c r="C528" s="1966" t="s">
        <v>667</v>
      </c>
      <c r="D528" s="1642" t="s">
        <v>1015</v>
      </c>
      <c r="E528" s="1972" t="s">
        <v>15</v>
      </c>
      <c r="F528" s="1629" t="s">
        <v>15</v>
      </c>
      <c r="G528" s="1973">
        <v>7260</v>
      </c>
      <c r="H528" s="1615">
        <v>4652.1000000000004</v>
      </c>
      <c r="I528" s="1189">
        <v>0</v>
      </c>
      <c r="J528" s="1190">
        <v>1782.0992000000001</v>
      </c>
      <c r="K528" s="1239">
        <v>0</v>
      </c>
      <c r="L528" s="1616">
        <f t="shared" si="47"/>
        <v>2607.8999999999996</v>
      </c>
      <c r="M528" s="1359">
        <v>2607.8999999999996</v>
      </c>
      <c r="N528" s="231">
        <v>0</v>
      </c>
      <c r="O528" s="1615">
        <f t="shared" si="45"/>
        <v>2607.8999999999996</v>
      </c>
      <c r="P528" s="2580">
        <v>0</v>
      </c>
      <c r="Q528" s="2580">
        <v>0</v>
      </c>
      <c r="R528" s="2581">
        <v>0</v>
      </c>
      <c r="S528" s="2582">
        <v>0</v>
      </c>
      <c r="T528" s="2583">
        <v>0</v>
      </c>
      <c r="U528" s="2581">
        <v>0</v>
      </c>
      <c r="V528" s="2581">
        <v>0</v>
      </c>
      <c r="W528" s="2584">
        <v>0</v>
      </c>
      <c r="X528" s="2582">
        <v>0</v>
      </c>
      <c r="Y528" s="2583">
        <v>0</v>
      </c>
      <c r="Z528" s="1629" t="s">
        <v>72</v>
      </c>
      <c r="AA528" s="1819" t="s">
        <v>10</v>
      </c>
      <c r="AB528" s="2044" t="s">
        <v>448</v>
      </c>
      <c r="AC528" s="1629" t="s">
        <v>79</v>
      </c>
      <c r="AD528" s="1972">
        <v>2</v>
      </c>
      <c r="AE528" s="1629" t="s">
        <v>75</v>
      </c>
      <c r="AF528" s="1629" t="s">
        <v>646</v>
      </c>
    </row>
    <row r="529" spans="1:32" ht="31.8" outlineLevel="1" thickBot="1" x14ac:dyDescent="0.3">
      <c r="A529" s="481" t="s">
        <v>668</v>
      </c>
      <c r="B529" s="482" t="s">
        <v>1213</v>
      </c>
      <c r="C529" s="483" t="s">
        <v>669</v>
      </c>
      <c r="D529" s="484" t="s">
        <v>1015</v>
      </c>
      <c r="E529" s="485" t="s">
        <v>15</v>
      </c>
      <c r="F529" s="484" t="s">
        <v>15</v>
      </c>
      <c r="G529" s="1157">
        <f>431.29119+110.0979</f>
        <v>541.38909000000001</v>
      </c>
      <c r="H529" s="486">
        <v>431.29118999999997</v>
      </c>
      <c r="I529" s="487">
        <v>0</v>
      </c>
      <c r="J529" s="488">
        <v>110.0979</v>
      </c>
      <c r="K529" s="489">
        <v>0</v>
      </c>
      <c r="L529" s="490">
        <f t="shared" si="47"/>
        <v>110.0979</v>
      </c>
      <c r="M529" s="491">
        <v>113.70881</v>
      </c>
      <c r="N529" s="486">
        <f>-113.70881+110.0979</f>
        <v>-3.6109100000000041</v>
      </c>
      <c r="O529" s="486">
        <f t="shared" si="45"/>
        <v>110.0979</v>
      </c>
      <c r="P529" s="492">
        <v>0</v>
      </c>
      <c r="Q529" s="492">
        <v>0</v>
      </c>
      <c r="R529" s="493">
        <v>0</v>
      </c>
      <c r="S529" s="495">
        <v>0</v>
      </c>
      <c r="T529" s="496">
        <v>0</v>
      </c>
      <c r="U529" s="493">
        <v>0</v>
      </c>
      <c r="V529" s="493">
        <v>0</v>
      </c>
      <c r="W529" s="494">
        <v>0</v>
      </c>
      <c r="X529" s="495">
        <v>0</v>
      </c>
      <c r="Y529" s="496">
        <v>0</v>
      </c>
      <c r="Z529" s="484" t="s">
        <v>1669</v>
      </c>
      <c r="AA529" s="1159" t="s">
        <v>83</v>
      </c>
      <c r="AB529" s="497" t="s">
        <v>448</v>
      </c>
      <c r="AC529" s="484" t="s">
        <v>80</v>
      </c>
      <c r="AD529" s="485">
        <v>2</v>
      </c>
      <c r="AE529" s="484" t="s">
        <v>75</v>
      </c>
      <c r="AF529" s="484" t="s">
        <v>646</v>
      </c>
    </row>
    <row r="530" spans="1:32" ht="26.4" outlineLevel="1" x14ac:dyDescent="0.25">
      <c r="A530" s="428" t="s">
        <v>1058</v>
      </c>
      <c r="B530" s="225" t="s">
        <v>75</v>
      </c>
      <c r="C530" s="1665" t="s">
        <v>1059</v>
      </c>
      <c r="D530" s="1642" t="s">
        <v>1219</v>
      </c>
      <c r="E530" s="1731" t="s">
        <v>14</v>
      </c>
      <c r="F530" s="1644" t="s">
        <v>14</v>
      </c>
      <c r="G530" s="1974">
        <v>21278</v>
      </c>
      <c r="H530" s="1617">
        <v>0</v>
      </c>
      <c r="I530" s="1184">
        <v>0</v>
      </c>
      <c r="J530" s="1238">
        <v>0</v>
      </c>
      <c r="K530" s="1237">
        <v>0</v>
      </c>
      <c r="L530" s="1618">
        <f t="shared" si="47"/>
        <v>21278</v>
      </c>
      <c r="M530" s="1342">
        <v>21278</v>
      </c>
      <c r="N530" s="229">
        <v>0</v>
      </c>
      <c r="O530" s="1617">
        <f t="shared" si="45"/>
        <v>21278</v>
      </c>
      <c r="P530" s="1169">
        <v>0</v>
      </c>
      <c r="Q530" s="1169">
        <v>0</v>
      </c>
      <c r="R530" s="1184">
        <v>0</v>
      </c>
      <c r="S530" s="1999">
        <v>0</v>
      </c>
      <c r="T530" s="1618">
        <v>0</v>
      </c>
      <c r="U530" s="1184">
        <v>0</v>
      </c>
      <c r="V530" s="1184">
        <v>0</v>
      </c>
      <c r="W530" s="1184">
        <v>0</v>
      </c>
      <c r="X530" s="1999">
        <v>0</v>
      </c>
      <c r="Y530" s="1618">
        <v>0</v>
      </c>
      <c r="Z530" s="1819" t="s">
        <v>72</v>
      </c>
      <c r="AA530" s="1642" t="s">
        <v>8</v>
      </c>
      <c r="AB530" s="2090" t="s">
        <v>382</v>
      </c>
      <c r="AC530" s="1642" t="s">
        <v>79</v>
      </c>
      <c r="AD530" s="2004">
        <v>1</v>
      </c>
      <c r="AE530" s="1642" t="s">
        <v>560</v>
      </c>
      <c r="AF530" s="1642" t="s">
        <v>646</v>
      </c>
    </row>
    <row r="531" spans="1:32" ht="26.4" outlineLevel="1" x14ac:dyDescent="0.25">
      <c r="A531" s="407" t="s">
        <v>1060</v>
      </c>
      <c r="B531" s="222" t="s">
        <v>75</v>
      </c>
      <c r="C531" s="1966" t="s">
        <v>1077</v>
      </c>
      <c r="D531" s="1629" t="s">
        <v>1219</v>
      </c>
      <c r="E531" s="1924" t="s">
        <v>15</v>
      </c>
      <c r="F531" s="1631" t="s">
        <v>15</v>
      </c>
      <c r="G531" s="1973">
        <v>200</v>
      </c>
      <c r="H531" s="1615">
        <v>0</v>
      </c>
      <c r="I531" s="1189">
        <v>0</v>
      </c>
      <c r="J531" s="1190">
        <v>198.22099</v>
      </c>
      <c r="K531" s="1239">
        <v>0</v>
      </c>
      <c r="L531" s="1616">
        <f t="shared" si="47"/>
        <v>200</v>
      </c>
      <c r="M531" s="1359">
        <v>200</v>
      </c>
      <c r="N531" s="231">
        <v>0</v>
      </c>
      <c r="O531" s="1617">
        <f t="shared" si="45"/>
        <v>200</v>
      </c>
      <c r="P531" s="1191">
        <v>0</v>
      </c>
      <c r="Q531" s="1191">
        <v>0</v>
      </c>
      <c r="R531" s="1189">
        <v>0</v>
      </c>
      <c r="S531" s="2003">
        <v>0</v>
      </c>
      <c r="T531" s="1616">
        <v>0</v>
      </c>
      <c r="U531" s="1189">
        <v>0</v>
      </c>
      <c r="V531" s="1189">
        <v>0</v>
      </c>
      <c r="W531" s="1189">
        <v>0</v>
      </c>
      <c r="X531" s="2003">
        <v>0</v>
      </c>
      <c r="Y531" s="1616">
        <v>0</v>
      </c>
      <c r="Z531" s="1629" t="s">
        <v>72</v>
      </c>
      <c r="AA531" s="1629" t="s">
        <v>8</v>
      </c>
      <c r="AB531" s="2044" t="s">
        <v>1073</v>
      </c>
      <c r="AC531" s="1629" t="s">
        <v>79</v>
      </c>
      <c r="AD531" s="1972">
        <v>2</v>
      </c>
      <c r="AE531" s="1629" t="s">
        <v>75</v>
      </c>
      <c r="AF531" s="1629" t="s">
        <v>646</v>
      </c>
    </row>
    <row r="532" spans="1:32" ht="26.4" outlineLevel="1" x14ac:dyDescent="0.25">
      <c r="A532" s="407" t="s">
        <v>1061</v>
      </c>
      <c r="B532" s="222" t="s">
        <v>1679</v>
      </c>
      <c r="C532" s="1966" t="s">
        <v>1078</v>
      </c>
      <c r="D532" s="1629" t="s">
        <v>1219</v>
      </c>
      <c r="E532" s="1924" t="s">
        <v>15</v>
      </c>
      <c r="F532" s="1631" t="s">
        <v>15</v>
      </c>
      <c r="G532" s="1973">
        <v>1224</v>
      </c>
      <c r="H532" s="1615">
        <v>0</v>
      </c>
      <c r="I532" s="1189">
        <v>0</v>
      </c>
      <c r="J532" s="1190">
        <v>1208.79</v>
      </c>
      <c r="K532" s="1239">
        <v>0</v>
      </c>
      <c r="L532" s="1616">
        <f t="shared" si="47"/>
        <v>1224</v>
      </c>
      <c r="M532" s="1359">
        <v>1224</v>
      </c>
      <c r="N532" s="231">
        <v>0</v>
      </c>
      <c r="O532" s="1617">
        <f t="shared" si="45"/>
        <v>1224</v>
      </c>
      <c r="P532" s="1191">
        <v>0</v>
      </c>
      <c r="Q532" s="1191">
        <v>0</v>
      </c>
      <c r="R532" s="1189">
        <v>0</v>
      </c>
      <c r="S532" s="2003">
        <v>0</v>
      </c>
      <c r="T532" s="1616">
        <v>0</v>
      </c>
      <c r="U532" s="1189">
        <v>0</v>
      </c>
      <c r="V532" s="1189">
        <v>0</v>
      </c>
      <c r="W532" s="1189">
        <v>0</v>
      </c>
      <c r="X532" s="2003">
        <v>0</v>
      </c>
      <c r="Y532" s="1616">
        <v>0</v>
      </c>
      <c r="Z532" s="1629" t="s">
        <v>72</v>
      </c>
      <c r="AA532" s="1629" t="s">
        <v>10</v>
      </c>
      <c r="AB532" s="2044" t="s">
        <v>533</v>
      </c>
      <c r="AC532" s="1629" t="s">
        <v>80</v>
      </c>
      <c r="AD532" s="1972">
        <v>2</v>
      </c>
      <c r="AE532" s="1629" t="s">
        <v>75</v>
      </c>
      <c r="AF532" s="1629" t="s">
        <v>646</v>
      </c>
    </row>
    <row r="533" spans="1:32" ht="26.4" outlineLevel="1" x14ac:dyDescent="0.25">
      <c r="A533" s="407" t="s">
        <v>1062</v>
      </c>
      <c r="B533" s="222" t="s">
        <v>75</v>
      </c>
      <c r="C533" s="1966" t="s">
        <v>1430</v>
      </c>
      <c r="D533" s="1629" t="s">
        <v>1219</v>
      </c>
      <c r="E533" s="1924" t="s">
        <v>15</v>
      </c>
      <c r="F533" s="1631" t="s">
        <v>15</v>
      </c>
      <c r="G533" s="1973">
        <v>750</v>
      </c>
      <c r="H533" s="1615">
        <v>0</v>
      </c>
      <c r="I533" s="1189">
        <v>0</v>
      </c>
      <c r="J533" s="1190">
        <v>0</v>
      </c>
      <c r="K533" s="1239">
        <v>0</v>
      </c>
      <c r="L533" s="1616">
        <f t="shared" si="47"/>
        <v>750</v>
      </c>
      <c r="M533" s="1359">
        <v>750</v>
      </c>
      <c r="N533" s="231">
        <v>0</v>
      </c>
      <c r="O533" s="1617">
        <f t="shared" si="45"/>
        <v>750</v>
      </c>
      <c r="P533" s="1191">
        <v>0</v>
      </c>
      <c r="Q533" s="1191">
        <v>0</v>
      </c>
      <c r="R533" s="1189">
        <v>0</v>
      </c>
      <c r="S533" s="2003">
        <v>0</v>
      </c>
      <c r="T533" s="1616">
        <v>0</v>
      </c>
      <c r="U533" s="1189">
        <v>0</v>
      </c>
      <c r="V533" s="1189">
        <v>0</v>
      </c>
      <c r="W533" s="1189">
        <v>0</v>
      </c>
      <c r="X533" s="2003">
        <v>0</v>
      </c>
      <c r="Y533" s="1616">
        <v>0</v>
      </c>
      <c r="Z533" s="1629" t="s">
        <v>72</v>
      </c>
      <c r="AA533" s="1629" t="s">
        <v>8</v>
      </c>
      <c r="AB533" s="2044" t="s">
        <v>1073</v>
      </c>
      <c r="AC533" s="1629" t="s">
        <v>79</v>
      </c>
      <c r="AD533" s="1972">
        <v>3</v>
      </c>
      <c r="AE533" s="1629" t="s">
        <v>75</v>
      </c>
      <c r="AF533" s="1629" t="s">
        <v>646</v>
      </c>
    </row>
    <row r="534" spans="1:32" ht="26.4" outlineLevel="1" x14ac:dyDescent="0.25">
      <c r="A534" s="407" t="s">
        <v>1063</v>
      </c>
      <c r="B534" s="222" t="s">
        <v>75</v>
      </c>
      <c r="C534" s="1966" t="s">
        <v>1518</v>
      </c>
      <c r="D534" s="1629" t="s">
        <v>1219</v>
      </c>
      <c r="E534" s="1924" t="s">
        <v>15</v>
      </c>
      <c r="F534" s="1631" t="s">
        <v>15</v>
      </c>
      <c r="G534" s="1973">
        <v>1150</v>
      </c>
      <c r="H534" s="1615">
        <v>0</v>
      </c>
      <c r="I534" s="1189">
        <v>0</v>
      </c>
      <c r="J534" s="1190">
        <v>0</v>
      </c>
      <c r="K534" s="1239">
        <v>0</v>
      </c>
      <c r="L534" s="1616">
        <f t="shared" si="47"/>
        <v>1150</v>
      </c>
      <c r="M534" s="1359">
        <v>1150</v>
      </c>
      <c r="N534" s="231">
        <v>0</v>
      </c>
      <c r="O534" s="1617">
        <f t="shared" si="45"/>
        <v>1150</v>
      </c>
      <c r="P534" s="1191">
        <v>0</v>
      </c>
      <c r="Q534" s="1191">
        <v>0</v>
      </c>
      <c r="R534" s="1189">
        <v>0</v>
      </c>
      <c r="S534" s="2003">
        <v>0</v>
      </c>
      <c r="T534" s="1616">
        <v>0</v>
      </c>
      <c r="U534" s="1189">
        <v>0</v>
      </c>
      <c r="V534" s="1189">
        <v>0</v>
      </c>
      <c r="W534" s="1189">
        <v>0</v>
      </c>
      <c r="X534" s="2003">
        <v>0</v>
      </c>
      <c r="Y534" s="1616">
        <v>0</v>
      </c>
      <c r="Z534" s="1629" t="s">
        <v>72</v>
      </c>
      <c r="AA534" s="1629" t="s">
        <v>8</v>
      </c>
      <c r="AB534" s="2044" t="s">
        <v>1073</v>
      </c>
      <c r="AC534" s="1629" t="s">
        <v>79</v>
      </c>
      <c r="AD534" s="1972">
        <v>2</v>
      </c>
      <c r="AE534" s="1629" t="s">
        <v>75</v>
      </c>
      <c r="AF534" s="1629" t="s">
        <v>646</v>
      </c>
    </row>
    <row r="535" spans="1:32" ht="26.4" outlineLevel="1" x14ac:dyDescent="0.25">
      <c r="A535" s="407" t="s">
        <v>1064</v>
      </c>
      <c r="B535" s="222" t="s">
        <v>75</v>
      </c>
      <c r="C535" s="1966" t="s">
        <v>1065</v>
      </c>
      <c r="D535" s="1629" t="s">
        <v>1219</v>
      </c>
      <c r="E535" s="1924" t="s">
        <v>14</v>
      </c>
      <c r="F535" s="1631" t="s">
        <v>14</v>
      </c>
      <c r="G535" s="1973">
        <v>25000</v>
      </c>
      <c r="H535" s="1615">
        <v>0</v>
      </c>
      <c r="I535" s="1189">
        <v>0</v>
      </c>
      <c r="J535" s="1190">
        <v>0</v>
      </c>
      <c r="K535" s="1239">
        <v>0</v>
      </c>
      <c r="L535" s="1616">
        <f t="shared" si="47"/>
        <v>0</v>
      </c>
      <c r="M535" s="1359">
        <v>0</v>
      </c>
      <c r="N535" s="231">
        <v>0</v>
      </c>
      <c r="O535" s="1617">
        <f t="shared" si="45"/>
        <v>0</v>
      </c>
      <c r="P535" s="1191">
        <v>25000</v>
      </c>
      <c r="Q535" s="1191">
        <v>0</v>
      </c>
      <c r="R535" s="1189">
        <v>0</v>
      </c>
      <c r="S535" s="2003">
        <v>0</v>
      </c>
      <c r="T535" s="1616">
        <v>0</v>
      </c>
      <c r="U535" s="1189">
        <v>0</v>
      </c>
      <c r="V535" s="1189">
        <v>0</v>
      </c>
      <c r="W535" s="1189">
        <v>0</v>
      </c>
      <c r="X535" s="2003">
        <v>0</v>
      </c>
      <c r="Y535" s="1616">
        <v>0</v>
      </c>
      <c r="Z535" s="1629" t="s">
        <v>72</v>
      </c>
      <c r="AA535" s="1629" t="s">
        <v>8</v>
      </c>
      <c r="AB535" s="2090" t="s">
        <v>1390</v>
      </c>
      <c r="AC535" s="1629" t="s">
        <v>79</v>
      </c>
      <c r="AD535" s="1972">
        <v>1</v>
      </c>
      <c r="AE535" s="1642" t="s">
        <v>560</v>
      </c>
      <c r="AF535" s="1629" t="s">
        <v>646</v>
      </c>
    </row>
    <row r="536" spans="1:32" ht="27" outlineLevel="1" thickBot="1" x14ac:dyDescent="0.3">
      <c r="A536" s="408" t="s">
        <v>1066</v>
      </c>
      <c r="B536" s="226" t="s">
        <v>75</v>
      </c>
      <c r="C536" s="1967" t="s">
        <v>1067</v>
      </c>
      <c r="D536" s="1661" t="s">
        <v>1219</v>
      </c>
      <c r="E536" s="1738" t="s">
        <v>14</v>
      </c>
      <c r="F536" s="1663" t="s">
        <v>14</v>
      </c>
      <c r="G536" s="1975">
        <v>98500</v>
      </c>
      <c r="H536" s="1619">
        <v>0</v>
      </c>
      <c r="I536" s="1216">
        <v>0</v>
      </c>
      <c r="J536" s="1275">
        <v>0</v>
      </c>
      <c r="K536" s="1273">
        <v>0</v>
      </c>
      <c r="L536" s="1620">
        <f t="shared" si="47"/>
        <v>3000</v>
      </c>
      <c r="M536" s="1362">
        <v>3000</v>
      </c>
      <c r="N536" s="224">
        <v>0</v>
      </c>
      <c r="O536" s="1619">
        <f t="shared" si="45"/>
        <v>3000</v>
      </c>
      <c r="P536" s="1218">
        <v>95500</v>
      </c>
      <c r="Q536" s="1218">
        <v>0</v>
      </c>
      <c r="R536" s="1216">
        <v>0</v>
      </c>
      <c r="S536" s="2018">
        <v>0</v>
      </c>
      <c r="T536" s="1620">
        <v>0</v>
      </c>
      <c r="U536" s="1216">
        <v>0</v>
      </c>
      <c r="V536" s="1216">
        <v>0</v>
      </c>
      <c r="W536" s="1216">
        <v>0</v>
      </c>
      <c r="X536" s="2018">
        <v>0</v>
      </c>
      <c r="Y536" s="1620">
        <v>0</v>
      </c>
      <c r="Z536" s="1661" t="s">
        <v>72</v>
      </c>
      <c r="AA536" s="1661" t="s">
        <v>8</v>
      </c>
      <c r="AB536" s="2087" t="s">
        <v>1073</v>
      </c>
      <c r="AC536" s="1661" t="s">
        <v>79</v>
      </c>
      <c r="AD536" s="2585">
        <v>1</v>
      </c>
      <c r="AE536" s="1661" t="s">
        <v>560</v>
      </c>
      <c r="AF536" s="1661" t="s">
        <v>646</v>
      </c>
    </row>
    <row r="537" spans="1:32" ht="26.4" outlineLevel="1" x14ac:dyDescent="0.25">
      <c r="A537" s="428" t="s">
        <v>1431</v>
      </c>
      <c r="B537" s="225" t="s">
        <v>75</v>
      </c>
      <c r="C537" s="1665" t="s">
        <v>1432</v>
      </c>
      <c r="D537" s="1642" t="s">
        <v>1513</v>
      </c>
      <c r="E537" s="1731" t="s">
        <v>15</v>
      </c>
      <c r="F537" s="1644" t="s">
        <v>15</v>
      </c>
      <c r="G537" s="1974">
        <v>750</v>
      </c>
      <c r="H537" s="1617">
        <v>0</v>
      </c>
      <c r="I537" s="1184">
        <v>0</v>
      </c>
      <c r="J537" s="1238">
        <v>0</v>
      </c>
      <c r="K537" s="1237">
        <v>0</v>
      </c>
      <c r="L537" s="1618">
        <f t="shared" si="47"/>
        <v>750</v>
      </c>
      <c r="M537" s="1342">
        <v>750</v>
      </c>
      <c r="N537" s="229">
        <v>0</v>
      </c>
      <c r="O537" s="1617">
        <f t="shared" si="45"/>
        <v>750</v>
      </c>
      <c r="P537" s="1169">
        <v>0</v>
      </c>
      <c r="Q537" s="1169">
        <v>0</v>
      </c>
      <c r="R537" s="1184">
        <v>0</v>
      </c>
      <c r="S537" s="1999">
        <v>0</v>
      </c>
      <c r="T537" s="1618">
        <v>0</v>
      </c>
      <c r="U537" s="2586">
        <v>0</v>
      </c>
      <c r="V537" s="2587">
        <v>0</v>
      </c>
      <c r="W537" s="2587">
        <v>0</v>
      </c>
      <c r="X537" s="2587">
        <v>0</v>
      </c>
      <c r="Y537" s="2588">
        <v>0</v>
      </c>
      <c r="Z537" s="1819" t="s">
        <v>72</v>
      </c>
      <c r="AA537" s="1642" t="s">
        <v>8</v>
      </c>
      <c r="AB537" s="2019" t="s">
        <v>533</v>
      </c>
      <c r="AC537" s="1642" t="s">
        <v>79</v>
      </c>
      <c r="AD537" s="2004">
        <v>2</v>
      </c>
      <c r="AE537" s="1642" t="s">
        <v>75</v>
      </c>
      <c r="AF537" s="1642" t="s">
        <v>646</v>
      </c>
    </row>
    <row r="538" spans="1:32" ht="26.4" outlineLevel="1" x14ac:dyDescent="0.25">
      <c r="A538" s="407" t="s">
        <v>1433</v>
      </c>
      <c r="B538" s="222" t="s">
        <v>75</v>
      </c>
      <c r="C538" s="1966" t="s">
        <v>1434</v>
      </c>
      <c r="D538" s="1629" t="s">
        <v>1513</v>
      </c>
      <c r="E538" s="1924" t="s">
        <v>15</v>
      </c>
      <c r="F538" s="1631" t="s">
        <v>15</v>
      </c>
      <c r="G538" s="1973">
        <v>1000</v>
      </c>
      <c r="H538" s="1615">
        <v>0</v>
      </c>
      <c r="I538" s="1189">
        <v>0</v>
      </c>
      <c r="J538" s="1190">
        <v>0</v>
      </c>
      <c r="K538" s="1239">
        <v>0</v>
      </c>
      <c r="L538" s="1616">
        <f t="shared" si="47"/>
        <v>1000</v>
      </c>
      <c r="M538" s="1359">
        <v>1000</v>
      </c>
      <c r="N538" s="231">
        <v>0</v>
      </c>
      <c r="O538" s="1615">
        <f t="shared" si="45"/>
        <v>1000</v>
      </c>
      <c r="P538" s="1191">
        <v>0</v>
      </c>
      <c r="Q538" s="1191">
        <v>0</v>
      </c>
      <c r="R538" s="1189">
        <v>0</v>
      </c>
      <c r="S538" s="2003">
        <v>0</v>
      </c>
      <c r="T538" s="1616">
        <v>0</v>
      </c>
      <c r="U538" s="1239">
        <v>0</v>
      </c>
      <c r="V538" s="2589">
        <v>0</v>
      </c>
      <c r="W538" s="420">
        <v>0</v>
      </c>
      <c r="X538" s="2003">
        <v>0</v>
      </c>
      <c r="Y538" s="1616">
        <v>0</v>
      </c>
      <c r="Z538" s="1629" t="s">
        <v>72</v>
      </c>
      <c r="AA538" s="1642" t="s">
        <v>8</v>
      </c>
      <c r="AB538" s="2090" t="s">
        <v>1073</v>
      </c>
      <c r="AC538" s="1629" t="s">
        <v>79</v>
      </c>
      <c r="AD538" s="1972">
        <v>2</v>
      </c>
      <c r="AE538" s="1629" t="s">
        <v>75</v>
      </c>
      <c r="AF538" s="1629" t="s">
        <v>646</v>
      </c>
    </row>
    <row r="539" spans="1:32" ht="27" outlineLevel="1" thickBot="1" x14ac:dyDescent="0.3">
      <c r="A539" s="408" t="s">
        <v>1435</v>
      </c>
      <c r="B539" s="226" t="s">
        <v>75</v>
      </c>
      <c r="C539" s="1807" t="s">
        <v>1436</v>
      </c>
      <c r="D539" s="1661" t="s">
        <v>1513</v>
      </c>
      <c r="E539" s="1738" t="s">
        <v>15</v>
      </c>
      <c r="F539" s="1663" t="s">
        <v>15</v>
      </c>
      <c r="G539" s="1976">
        <v>1000</v>
      </c>
      <c r="H539" s="1619">
        <v>0</v>
      </c>
      <c r="I539" s="1216">
        <v>0</v>
      </c>
      <c r="J539" s="1275">
        <v>0</v>
      </c>
      <c r="K539" s="1273">
        <v>0</v>
      </c>
      <c r="L539" s="1620">
        <f t="shared" si="47"/>
        <v>1000</v>
      </c>
      <c r="M539" s="1362">
        <v>1000</v>
      </c>
      <c r="N539" s="224">
        <v>0</v>
      </c>
      <c r="O539" s="1619">
        <f t="shared" si="45"/>
        <v>1000</v>
      </c>
      <c r="P539" s="1218">
        <v>0</v>
      </c>
      <c r="Q539" s="1218">
        <v>0</v>
      </c>
      <c r="R539" s="1216">
        <v>0</v>
      </c>
      <c r="S539" s="2018">
        <v>0</v>
      </c>
      <c r="T539" s="1620">
        <v>0</v>
      </c>
      <c r="U539" s="1273">
        <v>0</v>
      </c>
      <c r="V539" s="2018">
        <v>0</v>
      </c>
      <c r="W539" s="2018">
        <v>0</v>
      </c>
      <c r="X539" s="2018">
        <v>0</v>
      </c>
      <c r="Y539" s="1620">
        <v>0</v>
      </c>
      <c r="Z539" s="1661" t="s">
        <v>72</v>
      </c>
      <c r="AA539" s="1661" t="s">
        <v>8</v>
      </c>
      <c r="AB539" s="2087" t="s">
        <v>533</v>
      </c>
      <c r="AC539" s="1661" t="s">
        <v>79</v>
      </c>
      <c r="AD539" s="2585">
        <v>2</v>
      </c>
      <c r="AE539" s="1661" t="s">
        <v>75</v>
      </c>
      <c r="AF539" s="1661" t="s">
        <v>646</v>
      </c>
    </row>
    <row r="540" spans="1:32" ht="31.2" outlineLevel="1" x14ac:dyDescent="0.25">
      <c r="A540" s="428" t="s">
        <v>1519</v>
      </c>
      <c r="B540" s="228" t="s">
        <v>75</v>
      </c>
      <c r="C540" s="1977" t="s">
        <v>1520</v>
      </c>
      <c r="D540" s="1819" t="s">
        <v>1657</v>
      </c>
      <c r="E540" s="1731" t="s">
        <v>15</v>
      </c>
      <c r="F540" s="1933" t="s">
        <v>15</v>
      </c>
      <c r="G540" s="1978">
        <v>641.45699999999999</v>
      </c>
      <c r="H540" s="1621">
        <v>0</v>
      </c>
      <c r="I540" s="1184">
        <v>0</v>
      </c>
      <c r="J540" s="1185">
        <v>0</v>
      </c>
      <c r="K540" s="1237">
        <v>0</v>
      </c>
      <c r="L540" s="1618">
        <f t="shared" si="47"/>
        <v>0</v>
      </c>
      <c r="M540" s="1339">
        <v>0</v>
      </c>
      <c r="N540" s="232">
        <v>0</v>
      </c>
      <c r="O540" s="1621">
        <f t="shared" si="45"/>
        <v>0</v>
      </c>
      <c r="P540" s="1339">
        <v>641.45699999999999</v>
      </c>
      <c r="Q540" s="1618">
        <v>0</v>
      </c>
      <c r="R540" s="1184">
        <v>0</v>
      </c>
      <c r="S540" s="1999">
        <v>0</v>
      </c>
      <c r="T540" s="1618">
        <v>0</v>
      </c>
      <c r="U540" s="1237">
        <v>0</v>
      </c>
      <c r="V540" s="1999">
        <v>0</v>
      </c>
      <c r="W540" s="1999">
        <v>0</v>
      </c>
      <c r="X540" s="1999">
        <v>0</v>
      </c>
      <c r="Y540" s="1185">
        <v>0</v>
      </c>
      <c r="Z540" s="1819" t="s">
        <v>72</v>
      </c>
      <c r="AA540" s="1642" t="s">
        <v>8</v>
      </c>
      <c r="AB540" s="2090" t="s">
        <v>1390</v>
      </c>
      <c r="AC540" s="1642" t="s">
        <v>79</v>
      </c>
      <c r="AD540" s="2004">
        <v>2</v>
      </c>
      <c r="AE540" s="1642" t="s">
        <v>75</v>
      </c>
      <c r="AF540" s="1642" t="s">
        <v>646</v>
      </c>
    </row>
    <row r="541" spans="1:32" ht="27" outlineLevel="1" thickBot="1" x14ac:dyDescent="0.3">
      <c r="A541" s="408" t="s">
        <v>1521</v>
      </c>
      <c r="B541" s="1791" t="s">
        <v>75</v>
      </c>
      <c r="C541" s="1979" t="s">
        <v>1522</v>
      </c>
      <c r="D541" s="1661" t="s">
        <v>1657</v>
      </c>
      <c r="E541" s="1738" t="s">
        <v>15</v>
      </c>
      <c r="F541" s="1663" t="s">
        <v>15</v>
      </c>
      <c r="G541" s="1976">
        <v>2299</v>
      </c>
      <c r="H541" s="1619">
        <v>0</v>
      </c>
      <c r="I541" s="1273">
        <v>0</v>
      </c>
      <c r="J541" s="1217">
        <v>0</v>
      </c>
      <c r="K541" s="1273">
        <v>0</v>
      </c>
      <c r="L541" s="1620">
        <f t="shared" si="47"/>
        <v>0</v>
      </c>
      <c r="M541" s="1218">
        <v>0</v>
      </c>
      <c r="N541" s="224">
        <v>0</v>
      </c>
      <c r="O541" s="1619">
        <f t="shared" si="45"/>
        <v>0</v>
      </c>
      <c r="P541" s="1218">
        <v>2299</v>
      </c>
      <c r="Q541" s="1620">
        <v>0</v>
      </c>
      <c r="R541" s="1216">
        <v>0</v>
      </c>
      <c r="S541" s="2018">
        <v>0</v>
      </c>
      <c r="T541" s="1620">
        <v>0</v>
      </c>
      <c r="U541" s="1273">
        <v>0</v>
      </c>
      <c r="V541" s="2018">
        <v>0</v>
      </c>
      <c r="W541" s="2018">
        <v>0</v>
      </c>
      <c r="X541" s="2018">
        <v>0</v>
      </c>
      <c r="Y541" s="1217">
        <v>0</v>
      </c>
      <c r="Z541" s="1661" t="s">
        <v>72</v>
      </c>
      <c r="AA541" s="1661" t="s">
        <v>8</v>
      </c>
      <c r="AB541" s="2087" t="s">
        <v>1390</v>
      </c>
      <c r="AC541" s="1661" t="s">
        <v>79</v>
      </c>
      <c r="AD541" s="2585">
        <v>2</v>
      </c>
      <c r="AE541" s="1661" t="s">
        <v>75</v>
      </c>
      <c r="AF541" s="1661" t="s">
        <v>646</v>
      </c>
    </row>
    <row r="542" spans="1:32" outlineLevel="1" x14ac:dyDescent="0.25">
      <c r="A542" s="498" t="s">
        <v>1670</v>
      </c>
      <c r="B542" s="499" t="s">
        <v>75</v>
      </c>
      <c r="C542" s="500" t="s">
        <v>1671</v>
      </c>
      <c r="D542" s="118" t="s">
        <v>75</v>
      </c>
      <c r="E542" s="1014" t="s">
        <v>15</v>
      </c>
      <c r="F542" s="1015" t="s">
        <v>15</v>
      </c>
      <c r="G542" s="501">
        <v>700</v>
      </c>
      <c r="H542" s="502">
        <v>0</v>
      </c>
      <c r="I542" s="507">
        <v>0</v>
      </c>
      <c r="J542" s="503">
        <v>0</v>
      </c>
      <c r="K542" s="507">
        <v>0</v>
      </c>
      <c r="L542" s="503">
        <f t="shared" si="47"/>
        <v>0</v>
      </c>
      <c r="M542" s="504">
        <v>0</v>
      </c>
      <c r="N542" s="502">
        <v>0</v>
      </c>
      <c r="O542" s="502">
        <f t="shared" ref="O542:O544" si="48">M542+N542</f>
        <v>0</v>
      </c>
      <c r="P542" s="504">
        <v>700</v>
      </c>
      <c r="Q542" s="505">
        <v>0</v>
      </c>
      <c r="R542" s="505">
        <v>0</v>
      </c>
      <c r="S542" s="508">
        <v>0</v>
      </c>
      <c r="T542" s="503">
        <v>0</v>
      </c>
      <c r="U542" s="507">
        <v>0</v>
      </c>
      <c r="V542" s="508">
        <v>0</v>
      </c>
      <c r="W542" s="508">
        <v>0</v>
      </c>
      <c r="X542" s="508">
        <v>0</v>
      </c>
      <c r="Y542" s="506">
        <v>0</v>
      </c>
      <c r="Z542" s="33" t="s">
        <v>1676</v>
      </c>
      <c r="AA542" s="33" t="s">
        <v>8</v>
      </c>
      <c r="AB542" s="2598" t="s">
        <v>1390</v>
      </c>
      <c r="AC542" s="118" t="s">
        <v>79</v>
      </c>
      <c r="AD542" s="364">
        <v>2</v>
      </c>
      <c r="AE542" s="118" t="s">
        <v>75</v>
      </c>
      <c r="AF542" s="118" t="s">
        <v>646</v>
      </c>
    </row>
    <row r="543" spans="1:32" outlineLevel="1" x14ac:dyDescent="0.25">
      <c r="A543" s="509" t="s">
        <v>1672</v>
      </c>
      <c r="B543" s="510" t="s">
        <v>75</v>
      </c>
      <c r="C543" s="511" t="s">
        <v>1673</v>
      </c>
      <c r="D543" s="320" t="s">
        <v>75</v>
      </c>
      <c r="E543" s="1016" t="s">
        <v>15</v>
      </c>
      <c r="F543" s="1017" t="s">
        <v>15</v>
      </c>
      <c r="G543" s="512">
        <v>2420</v>
      </c>
      <c r="H543" s="513">
        <v>0</v>
      </c>
      <c r="I543" s="514">
        <v>0</v>
      </c>
      <c r="J543" s="515">
        <v>0</v>
      </c>
      <c r="K543" s="514">
        <v>0</v>
      </c>
      <c r="L543" s="515">
        <f t="shared" si="47"/>
        <v>0</v>
      </c>
      <c r="M543" s="516">
        <v>0</v>
      </c>
      <c r="N543" s="513">
        <v>0</v>
      </c>
      <c r="O543" s="513">
        <f t="shared" si="48"/>
        <v>0</v>
      </c>
      <c r="P543" s="516">
        <v>2420</v>
      </c>
      <c r="Q543" s="517">
        <v>0</v>
      </c>
      <c r="R543" s="517">
        <v>0</v>
      </c>
      <c r="S543" s="519">
        <v>0</v>
      </c>
      <c r="T543" s="515">
        <v>0</v>
      </c>
      <c r="U543" s="514">
        <v>0</v>
      </c>
      <c r="V543" s="519">
        <v>0</v>
      </c>
      <c r="W543" s="519">
        <v>0</v>
      </c>
      <c r="X543" s="519">
        <v>0</v>
      </c>
      <c r="Y543" s="518">
        <v>0</v>
      </c>
      <c r="Z543" s="31" t="s">
        <v>1677</v>
      </c>
      <c r="AA543" s="31" t="s">
        <v>8</v>
      </c>
      <c r="AB543" s="2599" t="s">
        <v>1236</v>
      </c>
      <c r="AC543" s="320" t="s">
        <v>79</v>
      </c>
      <c r="AD543" s="429">
        <v>2</v>
      </c>
      <c r="AE543" s="320" t="s">
        <v>75</v>
      </c>
      <c r="AF543" s="320" t="s">
        <v>646</v>
      </c>
    </row>
    <row r="544" spans="1:32" outlineLevel="1" x14ac:dyDescent="0.25">
      <c r="A544" s="509" t="s">
        <v>1674</v>
      </c>
      <c r="B544" s="510" t="s">
        <v>75</v>
      </c>
      <c r="C544" s="511" t="s">
        <v>1675</v>
      </c>
      <c r="D544" s="320" t="s">
        <v>75</v>
      </c>
      <c r="E544" s="1017" t="s">
        <v>14</v>
      </c>
      <c r="F544" s="1017" t="s">
        <v>14</v>
      </c>
      <c r="G544" s="512">
        <v>325000</v>
      </c>
      <c r="H544" s="513">
        <v>0</v>
      </c>
      <c r="I544" s="514">
        <v>0</v>
      </c>
      <c r="J544" s="515">
        <v>0</v>
      </c>
      <c r="K544" s="514">
        <v>0</v>
      </c>
      <c r="L544" s="515">
        <f t="shared" si="47"/>
        <v>0</v>
      </c>
      <c r="M544" s="516">
        <v>0</v>
      </c>
      <c r="N544" s="513">
        <v>0</v>
      </c>
      <c r="O544" s="513">
        <f t="shared" si="48"/>
        <v>0</v>
      </c>
      <c r="P544" s="516">
        <v>325000</v>
      </c>
      <c r="Q544" s="517">
        <v>0</v>
      </c>
      <c r="R544" s="517">
        <v>0</v>
      </c>
      <c r="S544" s="519">
        <v>0</v>
      </c>
      <c r="T544" s="515">
        <v>0</v>
      </c>
      <c r="U544" s="514">
        <v>0</v>
      </c>
      <c r="V544" s="519">
        <v>0</v>
      </c>
      <c r="W544" s="519">
        <v>0</v>
      </c>
      <c r="X544" s="519">
        <v>0</v>
      </c>
      <c r="Y544" s="518">
        <v>0</v>
      </c>
      <c r="Z544" s="31" t="s">
        <v>1678</v>
      </c>
      <c r="AA544" s="31" t="s">
        <v>8</v>
      </c>
      <c r="AB544" s="2599" t="s">
        <v>1390</v>
      </c>
      <c r="AC544" s="320" t="s">
        <v>79</v>
      </c>
      <c r="AD544" s="429">
        <v>2</v>
      </c>
      <c r="AE544" s="320" t="s">
        <v>175</v>
      </c>
      <c r="AF544" s="320" t="s">
        <v>646</v>
      </c>
    </row>
    <row r="545" spans="1:32" ht="16.2" outlineLevel="1" thickBot="1" x14ac:dyDescent="0.3">
      <c r="A545" s="146" t="s">
        <v>84</v>
      </c>
      <c r="B545" s="269" t="s">
        <v>84</v>
      </c>
      <c r="C545" s="277" t="s">
        <v>84</v>
      </c>
      <c r="D545" s="78" t="s">
        <v>84</v>
      </c>
      <c r="E545" s="164" t="s">
        <v>84</v>
      </c>
      <c r="F545" s="203" t="s">
        <v>84</v>
      </c>
      <c r="G545" s="972" t="s">
        <v>84</v>
      </c>
      <c r="H545" s="973" t="s">
        <v>84</v>
      </c>
      <c r="I545" s="974" t="s">
        <v>84</v>
      </c>
      <c r="J545" s="975" t="s">
        <v>84</v>
      </c>
      <c r="K545" s="120" t="s">
        <v>84</v>
      </c>
      <c r="L545" s="79" t="s">
        <v>84</v>
      </c>
      <c r="M545" s="38" t="s">
        <v>84</v>
      </c>
      <c r="N545" s="38" t="s">
        <v>84</v>
      </c>
      <c r="O545" s="152" t="s">
        <v>84</v>
      </c>
      <c r="P545" s="38" t="s">
        <v>84</v>
      </c>
      <c r="Q545" s="122" t="s">
        <v>84</v>
      </c>
      <c r="R545" s="120" t="s">
        <v>84</v>
      </c>
      <c r="S545" s="84" t="s">
        <v>84</v>
      </c>
      <c r="T545" s="83" t="s">
        <v>84</v>
      </c>
      <c r="U545" s="120" t="s">
        <v>84</v>
      </c>
      <c r="V545" s="86" t="s">
        <v>84</v>
      </c>
      <c r="W545" s="86" t="s">
        <v>84</v>
      </c>
      <c r="X545" s="2024" t="s">
        <v>84</v>
      </c>
      <c r="Y545" s="79" t="s">
        <v>84</v>
      </c>
      <c r="Z545" s="78" t="s">
        <v>84</v>
      </c>
      <c r="AA545" s="78" t="s">
        <v>84</v>
      </c>
      <c r="AB545" s="72" t="s">
        <v>84</v>
      </c>
      <c r="AC545" s="21" t="s">
        <v>84</v>
      </c>
      <c r="AD545" s="15" t="s">
        <v>84</v>
      </c>
      <c r="AE545" s="1663" t="s">
        <v>84</v>
      </c>
      <c r="AF545" s="1663" t="s">
        <v>84</v>
      </c>
    </row>
    <row r="546" spans="1:32" s="967" customFormat="1" ht="18" thickBot="1" x14ac:dyDescent="0.3">
      <c r="A546" s="272" t="s">
        <v>160</v>
      </c>
      <c r="B546" s="273"/>
      <c r="C546" s="279"/>
      <c r="D546" s="7" t="s">
        <v>72</v>
      </c>
      <c r="E546" s="359" t="s">
        <v>72</v>
      </c>
      <c r="F546" s="359" t="s">
        <v>72</v>
      </c>
      <c r="G546" s="166">
        <f>SUM(G525:G545)</f>
        <v>496113.84609000001</v>
      </c>
      <c r="H546" s="166">
        <f t="shared" ref="H546:Y546" si="49">SUM(H525:H545)</f>
        <v>5115.2746900000002</v>
      </c>
      <c r="I546" s="166">
        <f t="shared" si="49"/>
        <v>0</v>
      </c>
      <c r="J546" s="166">
        <f t="shared" si="49"/>
        <v>3299.2080900000001</v>
      </c>
      <c r="K546" s="166">
        <f t="shared" si="49"/>
        <v>0</v>
      </c>
      <c r="L546" s="166">
        <f t="shared" si="49"/>
        <v>34170.114399999999</v>
      </c>
      <c r="M546" s="166">
        <f t="shared" si="49"/>
        <v>34841.725310000002</v>
      </c>
      <c r="N546" s="166">
        <f t="shared" si="49"/>
        <v>-671.61090999999999</v>
      </c>
      <c r="O546" s="166">
        <f t="shared" ref="O546" si="50">M546+N546</f>
        <v>34170.114399999999</v>
      </c>
      <c r="P546" s="166">
        <f t="shared" si="49"/>
        <v>455828.45699999999</v>
      </c>
      <c r="Q546" s="166">
        <f t="shared" si="49"/>
        <v>1000</v>
      </c>
      <c r="R546" s="166">
        <f t="shared" si="49"/>
        <v>0</v>
      </c>
      <c r="S546" s="166">
        <f t="shared" si="49"/>
        <v>0</v>
      </c>
      <c r="T546" s="166">
        <f t="shared" si="49"/>
        <v>0</v>
      </c>
      <c r="U546" s="166">
        <f t="shared" si="49"/>
        <v>0</v>
      </c>
      <c r="V546" s="166">
        <f t="shared" si="49"/>
        <v>0</v>
      </c>
      <c r="W546" s="166">
        <f t="shared" si="49"/>
        <v>0</v>
      </c>
      <c r="X546" s="166">
        <f t="shared" si="49"/>
        <v>0</v>
      </c>
      <c r="Y546" s="166">
        <f t="shared" si="49"/>
        <v>0</v>
      </c>
      <c r="Z546" s="7" t="s">
        <v>1223</v>
      </c>
      <c r="AA546" s="7" t="s">
        <v>72</v>
      </c>
      <c r="AB546" s="361" t="s">
        <v>72</v>
      </c>
      <c r="AC546" s="361" t="s">
        <v>72</v>
      </c>
      <c r="AD546" s="9" t="s">
        <v>72</v>
      </c>
      <c r="AE546" s="358" t="s">
        <v>72</v>
      </c>
      <c r="AF546" s="358" t="s">
        <v>72</v>
      </c>
    </row>
    <row r="547" spans="1:32" s="967" customFormat="1" ht="27" outlineLevel="1" thickBot="1" x14ac:dyDescent="0.3">
      <c r="A547" s="767" t="s">
        <v>1479</v>
      </c>
      <c r="B547" s="159" t="s">
        <v>75</v>
      </c>
      <c r="C547" s="1980" t="s">
        <v>1514</v>
      </c>
      <c r="D547" s="1655" t="s">
        <v>1657</v>
      </c>
      <c r="E547" s="1657" t="s">
        <v>1515</v>
      </c>
      <c r="F547" s="1657" t="s">
        <v>1515</v>
      </c>
      <c r="G547" s="1625">
        <v>0</v>
      </c>
      <c r="H547" s="1622">
        <v>0</v>
      </c>
      <c r="I547" s="1623">
        <v>0</v>
      </c>
      <c r="J547" s="1624">
        <v>0</v>
      </c>
      <c r="K547" s="1623">
        <v>0</v>
      </c>
      <c r="L547" s="1624">
        <v>0</v>
      </c>
      <c r="M547" s="1212">
        <v>5000</v>
      </c>
      <c r="N547" s="189">
        <v>-5000</v>
      </c>
      <c r="O547" s="1622">
        <v>0</v>
      </c>
      <c r="P547" s="1212">
        <v>0</v>
      </c>
      <c r="Q547" s="1212">
        <v>0</v>
      </c>
      <c r="R547" s="1210">
        <v>0</v>
      </c>
      <c r="S547" s="2590">
        <v>0</v>
      </c>
      <c r="T547" s="1624">
        <v>0</v>
      </c>
      <c r="U547" s="1210">
        <v>0</v>
      </c>
      <c r="V547" s="2590">
        <v>0</v>
      </c>
      <c r="W547" s="2590">
        <v>0</v>
      </c>
      <c r="X547" s="2590">
        <v>0</v>
      </c>
      <c r="Y547" s="1624">
        <v>0</v>
      </c>
      <c r="Z547" s="1655" t="s">
        <v>1739</v>
      </c>
      <c r="AA547" s="1655" t="s">
        <v>81</v>
      </c>
      <c r="AB547" s="2016" t="s">
        <v>747</v>
      </c>
      <c r="AC547" s="1655" t="s">
        <v>79</v>
      </c>
      <c r="AD547" s="1655">
        <v>1</v>
      </c>
      <c r="AE547" s="1655" t="s">
        <v>75</v>
      </c>
      <c r="AF547" s="1655" t="s">
        <v>75</v>
      </c>
    </row>
    <row r="548" spans="1:32" s="967" customFormat="1" outlineLevel="1" x14ac:dyDescent="0.25">
      <c r="A548" s="2621" t="s">
        <v>1740</v>
      </c>
      <c r="B548" s="2622" t="s">
        <v>75</v>
      </c>
      <c r="C548" s="2623" t="s">
        <v>1741</v>
      </c>
      <c r="D548" s="30" t="s">
        <v>75</v>
      </c>
      <c r="E548" s="2603" t="s">
        <v>1515</v>
      </c>
      <c r="F548" s="2604" t="s">
        <v>1515</v>
      </c>
      <c r="G548" s="128">
        <v>10890</v>
      </c>
      <c r="H548" s="2624">
        <v>0</v>
      </c>
      <c r="I548" s="2625">
        <v>0</v>
      </c>
      <c r="J548" s="2626">
        <v>0</v>
      </c>
      <c r="K548" s="1144">
        <v>0</v>
      </c>
      <c r="L548" s="2627">
        <v>0</v>
      </c>
      <c r="M548" s="1047">
        <v>0</v>
      </c>
      <c r="N548" s="1147">
        <v>0</v>
      </c>
      <c r="O548" s="1047">
        <v>0</v>
      </c>
      <c r="P548" s="1047">
        <v>10890</v>
      </c>
      <c r="Q548" s="2628">
        <v>0</v>
      </c>
      <c r="R548" s="1144">
        <v>0</v>
      </c>
      <c r="S548" s="1146">
        <v>0</v>
      </c>
      <c r="T548" s="2627">
        <v>0</v>
      </c>
      <c r="U548" s="1144">
        <v>0</v>
      </c>
      <c r="V548" s="1145">
        <v>0</v>
      </c>
      <c r="W548" s="1145">
        <v>0</v>
      </c>
      <c r="X548" s="1146">
        <v>0</v>
      </c>
      <c r="Y548" s="1147">
        <v>0</v>
      </c>
      <c r="Z548" s="30" t="s">
        <v>1871</v>
      </c>
      <c r="AA548" s="30" t="s">
        <v>8</v>
      </c>
      <c r="AB548" s="2629" t="s">
        <v>1073</v>
      </c>
      <c r="AC548" s="2630" t="s">
        <v>79</v>
      </c>
      <c r="AD548" s="127" t="s">
        <v>90</v>
      </c>
      <c r="AE548" s="2604" t="s">
        <v>75</v>
      </c>
      <c r="AF548" s="2604" t="s">
        <v>75</v>
      </c>
    </row>
    <row r="549" spans="1:32" s="967" customFormat="1" ht="16.2" outlineLevel="1" thickBot="1" x14ac:dyDescent="0.3">
      <c r="A549" s="146" t="s">
        <v>84</v>
      </c>
      <c r="B549" s="269" t="s">
        <v>84</v>
      </c>
      <c r="C549" s="277" t="s">
        <v>84</v>
      </c>
      <c r="D549" s="78" t="s">
        <v>84</v>
      </c>
      <c r="E549" s="164" t="s">
        <v>84</v>
      </c>
      <c r="F549" s="203" t="s">
        <v>84</v>
      </c>
      <c r="G549" s="972" t="s">
        <v>84</v>
      </c>
      <c r="H549" s="973" t="s">
        <v>84</v>
      </c>
      <c r="I549" s="974" t="s">
        <v>84</v>
      </c>
      <c r="J549" s="975" t="s">
        <v>84</v>
      </c>
      <c r="K549" s="86" t="s">
        <v>84</v>
      </c>
      <c r="L549" s="410" t="s">
        <v>84</v>
      </c>
      <c r="M549" s="38" t="s">
        <v>84</v>
      </c>
      <c r="N549" s="79" t="s">
        <v>84</v>
      </c>
      <c r="O549" s="152" t="s">
        <v>84</v>
      </c>
      <c r="P549" s="38" t="s">
        <v>84</v>
      </c>
      <c r="Q549" s="122" t="s">
        <v>84</v>
      </c>
      <c r="R549" s="120" t="s">
        <v>84</v>
      </c>
      <c r="S549" s="84" t="s">
        <v>84</v>
      </c>
      <c r="T549" s="83" t="s">
        <v>84</v>
      </c>
      <c r="U549" s="120" t="s">
        <v>84</v>
      </c>
      <c r="V549" s="86" t="s">
        <v>84</v>
      </c>
      <c r="W549" s="86" t="s">
        <v>84</v>
      </c>
      <c r="X549" s="84" t="s">
        <v>84</v>
      </c>
      <c r="Y549" s="79" t="s">
        <v>84</v>
      </c>
      <c r="Z549" s="78" t="s">
        <v>84</v>
      </c>
      <c r="AA549" s="78" t="s">
        <v>84</v>
      </c>
      <c r="AB549" s="72" t="s">
        <v>84</v>
      </c>
      <c r="AC549" s="21" t="s">
        <v>84</v>
      </c>
      <c r="AD549" s="20" t="s">
        <v>84</v>
      </c>
      <c r="AE549" s="203" t="s">
        <v>84</v>
      </c>
      <c r="AF549" s="203" t="s">
        <v>84</v>
      </c>
    </row>
    <row r="550" spans="1:32" s="967" customFormat="1" ht="18" thickBot="1" x14ac:dyDescent="0.3">
      <c r="A550" s="272" t="s">
        <v>1478</v>
      </c>
      <c r="B550" s="273"/>
      <c r="C550" s="279"/>
      <c r="D550" s="7" t="s">
        <v>72</v>
      </c>
      <c r="E550" s="359" t="s">
        <v>72</v>
      </c>
      <c r="F550" s="359" t="s">
        <v>72</v>
      </c>
      <c r="G550" s="166">
        <f>SUM(G547:G549)</f>
        <v>10890</v>
      </c>
      <c r="H550" s="166">
        <f t="shared" ref="H550:N550" si="51">SUM(H547:H549)</f>
        <v>0</v>
      </c>
      <c r="I550" s="166">
        <f t="shared" si="51"/>
        <v>0</v>
      </c>
      <c r="J550" s="166">
        <f t="shared" si="51"/>
        <v>0</v>
      </c>
      <c r="K550" s="166">
        <f t="shared" si="51"/>
        <v>0</v>
      </c>
      <c r="L550" s="166">
        <f t="shared" si="51"/>
        <v>0</v>
      </c>
      <c r="M550" s="166">
        <f t="shared" si="51"/>
        <v>5000</v>
      </c>
      <c r="N550" s="166">
        <f t="shared" si="51"/>
        <v>-5000</v>
      </c>
      <c r="O550" s="166">
        <f t="shared" ref="O550:Y550" si="52">SUM(O547:O549)</f>
        <v>0</v>
      </c>
      <c r="P550" s="166">
        <f t="shared" si="52"/>
        <v>10890</v>
      </c>
      <c r="Q550" s="166">
        <f t="shared" si="52"/>
        <v>0</v>
      </c>
      <c r="R550" s="166">
        <f t="shared" si="52"/>
        <v>0</v>
      </c>
      <c r="S550" s="166">
        <f t="shared" si="52"/>
        <v>0</v>
      </c>
      <c r="T550" s="166">
        <f t="shared" si="52"/>
        <v>0</v>
      </c>
      <c r="U550" s="166">
        <f t="shared" si="52"/>
        <v>0</v>
      </c>
      <c r="V550" s="166">
        <f t="shared" si="52"/>
        <v>0</v>
      </c>
      <c r="W550" s="166">
        <f t="shared" si="52"/>
        <v>0</v>
      </c>
      <c r="X550" s="166">
        <f t="shared" si="52"/>
        <v>0</v>
      </c>
      <c r="Y550" s="166">
        <f t="shared" si="52"/>
        <v>0</v>
      </c>
      <c r="Z550" s="7" t="s">
        <v>1480</v>
      </c>
      <c r="AA550" s="7" t="s">
        <v>72</v>
      </c>
      <c r="AB550" s="361" t="s">
        <v>72</v>
      </c>
      <c r="AC550" s="361" t="s">
        <v>72</v>
      </c>
      <c r="AD550" s="9" t="s">
        <v>72</v>
      </c>
      <c r="AE550" s="358" t="s">
        <v>72</v>
      </c>
      <c r="AF550" s="358" t="s">
        <v>72</v>
      </c>
    </row>
    <row r="551" spans="1:32" s="967" customFormat="1" ht="27" thickBot="1" x14ac:dyDescent="0.3">
      <c r="A551" s="272" t="s">
        <v>61</v>
      </c>
      <c r="B551" s="273"/>
      <c r="C551" s="279"/>
      <c r="D551" s="2774"/>
      <c r="E551" s="2775"/>
      <c r="F551" s="2775"/>
      <c r="G551" s="166">
        <f>SUM(G27+G37+G223+G294+G413+G428+G431+G440+G445+G451+G520+G524+G546+G550)</f>
        <v>18055274.068429999</v>
      </c>
      <c r="H551" s="166">
        <f t="shared" ref="H551:Y551" si="53">SUM(H27+H37+H223+H294+H413+H428+H431+H440+H445+H451+H520+H524+H546+H550)</f>
        <v>2904861.3980399994</v>
      </c>
      <c r="I551" s="166">
        <f t="shared" si="53"/>
        <v>424019.57315000001</v>
      </c>
      <c r="J551" s="166">
        <f t="shared" si="53"/>
        <v>700665.25387999997</v>
      </c>
      <c r="K551" s="166">
        <f t="shared" si="53"/>
        <v>424019.57315000001</v>
      </c>
      <c r="L551" s="166">
        <f t="shared" si="53"/>
        <v>2394048.4769399995</v>
      </c>
      <c r="M551" s="166">
        <f t="shared" si="53"/>
        <v>3851597.4649100001</v>
      </c>
      <c r="N551" s="2749">
        <f t="shared" si="53"/>
        <v>-1033529.4148199999</v>
      </c>
      <c r="O551" s="2749">
        <f t="shared" si="53"/>
        <v>2818068.05009</v>
      </c>
      <c r="P551" s="166">
        <f t="shared" si="53"/>
        <v>7504527.0376800001</v>
      </c>
      <c r="Q551" s="166">
        <f t="shared" si="53"/>
        <v>4216254.7380599994</v>
      </c>
      <c r="R551" s="166">
        <f t="shared" si="53"/>
        <v>18125.55156</v>
      </c>
      <c r="S551" s="166">
        <f t="shared" si="53"/>
        <v>434815</v>
      </c>
      <c r="T551" s="166">
        <f t="shared" si="53"/>
        <v>158622.29300000001</v>
      </c>
      <c r="U551" s="166">
        <f t="shared" si="53"/>
        <v>823462.29823000007</v>
      </c>
      <c r="V551" s="166">
        <f t="shared" si="53"/>
        <v>446625.99463999999</v>
      </c>
      <c r="W551" s="166">
        <f t="shared" si="53"/>
        <v>110273.29555999998</v>
      </c>
      <c r="X551" s="166">
        <f t="shared" si="53"/>
        <v>160085.80859000003</v>
      </c>
      <c r="Y551" s="166">
        <f t="shared" si="53"/>
        <v>216750.495</v>
      </c>
      <c r="Z551" s="10" t="s">
        <v>1967</v>
      </c>
      <c r="AA551" s="10" t="s">
        <v>72</v>
      </c>
      <c r="AB551" s="10" t="s">
        <v>72</v>
      </c>
      <c r="AC551" s="10" t="s">
        <v>72</v>
      </c>
      <c r="AD551" s="10" t="s">
        <v>72</v>
      </c>
      <c r="AE551" s="10" t="s">
        <v>72</v>
      </c>
      <c r="AF551" s="10" t="s">
        <v>72</v>
      </c>
    </row>
    <row r="552" spans="1:32" x14ac:dyDescent="0.25">
      <c r="A552" s="17"/>
      <c r="B552" s="6"/>
      <c r="C552" s="280"/>
      <c r="D552" s="4" t="s">
        <v>57</v>
      </c>
      <c r="E552" s="5" t="s">
        <v>57</v>
      </c>
      <c r="F552" s="5" t="s">
        <v>57</v>
      </c>
      <c r="G552" s="28"/>
      <c r="H552" s="28"/>
      <c r="I552" s="24"/>
      <c r="J552" s="24"/>
      <c r="K552" s="28"/>
      <c r="L552" s="28"/>
      <c r="M552" s="28"/>
      <c r="N552" s="24"/>
      <c r="O552" s="24"/>
      <c r="P552" s="16"/>
      <c r="Q552" s="16"/>
      <c r="R552" s="28"/>
      <c r="S552" s="28"/>
      <c r="T552" s="28"/>
      <c r="U552" s="22"/>
      <c r="V552" s="22"/>
      <c r="W552" s="22"/>
      <c r="X552" s="22"/>
      <c r="Y552" s="22"/>
      <c r="Z552" s="22" t="s">
        <v>57</v>
      </c>
      <c r="AA552" s="4"/>
      <c r="AB552" s="12"/>
      <c r="AC552" s="12"/>
      <c r="AD552" s="12"/>
      <c r="AE552" s="5"/>
      <c r="AF552" s="5" t="s">
        <v>57</v>
      </c>
    </row>
    <row r="553" spans="1:32" x14ac:dyDescent="0.25">
      <c r="A553" s="17"/>
      <c r="B553" s="6"/>
      <c r="C553" s="280"/>
      <c r="D553" s="4"/>
      <c r="E553" s="5"/>
      <c r="F553" s="5"/>
      <c r="G553" s="163"/>
      <c r="H553" s="163"/>
      <c r="I553" s="163"/>
      <c r="J553" s="163"/>
      <c r="K553" s="163"/>
      <c r="L553" s="163"/>
      <c r="M553" s="163"/>
      <c r="N553" s="163"/>
      <c r="O553" s="163"/>
      <c r="P553" s="163"/>
      <c r="Q553" s="163"/>
      <c r="R553" s="163"/>
      <c r="S553" s="163"/>
      <c r="T553" s="163"/>
      <c r="U553" s="163"/>
      <c r="V553" s="163"/>
      <c r="W553" s="163"/>
      <c r="X553" s="163"/>
      <c r="Y553" s="163"/>
      <c r="Z553" s="163"/>
      <c r="AA553" s="12"/>
      <c r="AB553" s="12"/>
      <c r="AC553" s="12"/>
      <c r="AD553" s="12" t="s">
        <v>57</v>
      </c>
      <c r="AE553" s="165"/>
      <c r="AF553" s="165"/>
    </row>
    <row r="554" spans="1:32" ht="16.5" customHeight="1" thickBot="1" x14ac:dyDescent="0.3">
      <c r="A554" s="192"/>
      <c r="B554" s="193"/>
      <c r="C554" s="281"/>
      <c r="D554" s="1"/>
      <c r="E554" s="3"/>
      <c r="F554" s="3"/>
      <c r="G554" s="3"/>
      <c r="H554" s="3"/>
      <c r="I554" s="3"/>
      <c r="J554" s="3"/>
      <c r="K554" s="1018"/>
      <c r="L554" s="419"/>
      <c r="M554" s="419"/>
      <c r="N554" s="419"/>
      <c r="O554" s="1019"/>
      <c r="P554" s="418"/>
      <c r="Q554" s="418"/>
      <c r="R554" s="418"/>
      <c r="S554" s="418"/>
      <c r="T554" s="985"/>
      <c r="U554" s="985"/>
      <c r="V554" s="985"/>
      <c r="W554" s="985"/>
      <c r="X554" s="420"/>
      <c r="Y554" s="420"/>
      <c r="Z554" s="420"/>
      <c r="AA554" s="12"/>
      <c r="AB554" s="12"/>
      <c r="AC554" s="12"/>
      <c r="AD554" s="12"/>
      <c r="AE554" s="165"/>
      <c r="AF554" s="165" t="s">
        <v>57</v>
      </c>
    </row>
    <row r="555" spans="1:32" ht="28.8" thickBot="1" x14ac:dyDescent="0.3">
      <c r="A555" s="2819" t="s">
        <v>226</v>
      </c>
      <c r="B555" s="2820"/>
      <c r="C555" s="2820"/>
      <c r="D555" s="2820"/>
      <c r="E555" s="2821"/>
      <c r="F555" s="5" t="s">
        <v>57</v>
      </c>
      <c r="G555" s="5" t="s">
        <v>57</v>
      </c>
      <c r="H555" s="5" t="s">
        <v>57</v>
      </c>
      <c r="I555" s="5" t="s">
        <v>57</v>
      </c>
      <c r="J555" s="5" t="s">
        <v>57</v>
      </c>
      <c r="K555" s="1018"/>
      <c r="L555" s="419"/>
      <c r="M555" s="419"/>
      <c r="N555" s="419"/>
      <c r="O555" s="1019"/>
      <c r="P555" s="418"/>
      <c r="Q555" s="418"/>
      <c r="R555" s="418"/>
      <c r="S555" s="418"/>
      <c r="T555" s="985"/>
      <c r="U555" s="985"/>
      <c r="V555" s="985"/>
      <c r="W555" s="985"/>
      <c r="X555" s="985"/>
      <c r="Y555" s="420"/>
      <c r="Z555" s="420"/>
      <c r="AA555" s="1020"/>
      <c r="AB555" s="420"/>
      <c r="AC555" s="418"/>
      <c r="AD555" s="1021"/>
      <c r="AE555" s="418"/>
      <c r="AF555" s="418"/>
    </row>
    <row r="556" spans="1:32" ht="10.5" customHeight="1" x14ac:dyDescent="0.25">
      <c r="A556" s="1022"/>
      <c r="B556" s="1023"/>
      <c r="C556" s="1024"/>
      <c r="D556" s="1022"/>
      <c r="E556" s="1024"/>
      <c r="F556" s="5"/>
      <c r="G556" s="5"/>
      <c r="H556" s="5"/>
      <c r="I556" s="5"/>
      <c r="J556" s="5"/>
      <c r="K556" s="419"/>
      <c r="L556" s="419"/>
      <c r="M556" s="419"/>
      <c r="N556" s="1018"/>
      <c r="O556" s="1018"/>
      <c r="P556" s="420"/>
      <c r="Q556" s="420"/>
      <c r="R556" s="420"/>
      <c r="S556" s="420"/>
      <c r="T556" s="420"/>
      <c r="U556" s="418"/>
      <c r="V556" s="418"/>
      <c r="W556" s="418"/>
      <c r="X556" s="418"/>
      <c r="Y556" s="418"/>
      <c r="Z556" s="985" t="s">
        <v>57</v>
      </c>
      <c r="AA556" s="1020"/>
      <c r="AB556" s="420"/>
      <c r="AC556" s="418"/>
      <c r="AD556" s="1021"/>
      <c r="AE556" s="418"/>
      <c r="AF556" s="418"/>
    </row>
    <row r="557" spans="1:32" ht="34.5" customHeight="1" x14ac:dyDescent="0.25">
      <c r="A557" s="2781" t="s">
        <v>394</v>
      </c>
      <c r="B557" s="2782"/>
      <c r="C557" s="2783"/>
      <c r="D557" s="2770" t="s">
        <v>58</v>
      </c>
      <c r="E557" s="2771"/>
      <c r="F557" s="5"/>
      <c r="G557" s="5"/>
      <c r="H557" s="5"/>
      <c r="I557" s="5"/>
      <c r="J557" s="5"/>
      <c r="K557" s="419"/>
      <c r="L557" s="419"/>
      <c r="M557" s="419"/>
      <c r="N557" s="1018"/>
      <c r="O557" s="1018"/>
      <c r="P557" s="420"/>
      <c r="Q557" s="420"/>
      <c r="R557" s="420"/>
      <c r="S557" s="420"/>
      <c r="T557" s="420"/>
      <c r="U557" s="418"/>
      <c r="V557" s="418"/>
      <c r="W557" s="418"/>
      <c r="X557" s="418"/>
      <c r="Y557" s="418"/>
      <c r="Z557" s="985"/>
      <c r="AA557" s="420"/>
      <c r="AB557" s="420"/>
      <c r="AC557" s="420"/>
      <c r="AD557" s="420"/>
      <c r="AE557" s="1020"/>
      <c r="AF557" s="1020"/>
    </row>
    <row r="558" spans="1:32" ht="34.5" customHeight="1" x14ac:dyDescent="0.25">
      <c r="A558" s="2772" t="s">
        <v>1961</v>
      </c>
      <c r="B558" s="2784"/>
      <c r="C558" s="2773"/>
      <c r="D558" s="2772" t="s">
        <v>68</v>
      </c>
      <c r="E558" s="2773"/>
      <c r="F558" s="5"/>
      <c r="G558" s="420"/>
      <c r="H558" s="28"/>
      <c r="I558" s="1018"/>
      <c r="J558" s="1018"/>
      <c r="K558" s="419"/>
      <c r="L558" s="419"/>
      <c r="M558" s="419"/>
      <c r="N558" s="1018"/>
      <c r="O558" s="1018"/>
      <c r="P558" s="420"/>
      <c r="Q558" s="420"/>
      <c r="R558" s="420"/>
      <c r="S558" s="420"/>
      <c r="T558" s="420"/>
      <c r="U558" s="418"/>
      <c r="V558" s="418"/>
      <c r="W558" s="418"/>
      <c r="X558" s="418"/>
      <c r="Y558" s="418"/>
      <c r="Z558" s="985"/>
      <c r="AA558" s="420"/>
      <c r="AB558" s="420"/>
      <c r="AC558" s="420"/>
      <c r="AD558" s="420"/>
      <c r="AE558" s="1020"/>
      <c r="AF558" s="1020"/>
    </row>
    <row r="559" spans="1:32" ht="34.5" customHeight="1" x14ac:dyDescent="0.25">
      <c r="A559" s="2776" t="s">
        <v>395</v>
      </c>
      <c r="B559" s="2785"/>
      <c r="C559" s="2777"/>
      <c r="D559" s="2776" t="s">
        <v>59</v>
      </c>
      <c r="E559" s="2777"/>
      <c r="F559" s="5"/>
      <c r="G559" s="420"/>
      <c r="H559" s="28"/>
      <c r="I559" s="1018"/>
      <c r="J559" s="1018"/>
      <c r="K559" s="419"/>
      <c r="L559" s="419"/>
      <c r="M559" s="419"/>
      <c r="N559" s="1018"/>
      <c r="O559" s="1018"/>
      <c r="P559" s="420"/>
      <c r="Q559" s="420"/>
      <c r="R559" s="420"/>
      <c r="S559" s="420"/>
      <c r="T559" s="420"/>
      <c r="U559" s="418"/>
      <c r="V559" s="418"/>
      <c r="W559" s="418"/>
      <c r="X559" s="418"/>
      <c r="Y559" s="418"/>
      <c r="Z559" s="985"/>
      <c r="AA559" s="420"/>
      <c r="AB559" s="420"/>
      <c r="AC559" s="420"/>
      <c r="AD559" s="420"/>
      <c r="AE559" s="1020"/>
      <c r="AF559" s="1020"/>
    </row>
    <row r="560" spans="1:32" ht="34.5" customHeight="1" x14ac:dyDescent="0.25">
      <c r="A560" s="2786" t="s">
        <v>396</v>
      </c>
      <c r="B560" s="2787"/>
      <c r="C560" s="2788"/>
      <c r="D560" s="2786" t="s">
        <v>60</v>
      </c>
      <c r="E560" s="2788"/>
      <c r="F560" s="5"/>
      <c r="AA560" s="420"/>
      <c r="AB560" s="420"/>
      <c r="AC560" s="420"/>
      <c r="AD560" s="420"/>
      <c r="AE560" s="1020"/>
      <c r="AF560" s="1020"/>
    </row>
    <row r="561" spans="1:29" ht="34.5" customHeight="1" thickBot="1" x14ac:dyDescent="0.3">
      <c r="A561" s="2789" t="s">
        <v>397</v>
      </c>
      <c r="B561" s="2790"/>
      <c r="C561" s="2791"/>
      <c r="D561" s="2789" t="s">
        <v>381</v>
      </c>
      <c r="E561" s="2791"/>
      <c r="F561" s="5"/>
      <c r="K561" s="421" t="s">
        <v>57</v>
      </c>
    </row>
    <row r="562" spans="1:29" ht="34.5" customHeight="1" thickBot="1" x14ac:dyDescent="0.3">
      <c r="A562" s="2620"/>
      <c r="B562" s="2778" t="s">
        <v>744</v>
      </c>
      <c r="C562" s="2780"/>
      <c r="D562" s="2778" t="s">
        <v>745</v>
      </c>
      <c r="E562" s="2780"/>
      <c r="F562" s="5"/>
    </row>
    <row r="563" spans="1:29" ht="34.5" customHeight="1" thickBot="1" x14ac:dyDescent="0.3">
      <c r="A563" s="2778" t="s">
        <v>158</v>
      </c>
      <c r="B563" s="2779"/>
      <c r="C563" s="2779"/>
      <c r="D563" s="2779"/>
      <c r="E563" s="2780"/>
      <c r="F563" s="5"/>
    </row>
    <row r="564" spans="1:29" x14ac:dyDescent="0.3">
      <c r="F564" s="1026"/>
    </row>
    <row r="565" spans="1:29" ht="16.2" thickBot="1" x14ac:dyDescent="0.35">
      <c r="F565" s="1026"/>
    </row>
    <row r="566" spans="1:29" ht="30.75" customHeight="1" thickBot="1" x14ac:dyDescent="0.3">
      <c r="A566" s="2750" t="s">
        <v>1215</v>
      </c>
      <c r="B566" s="2751"/>
      <c r="C566" s="2752"/>
      <c r="D566" s="2646" t="s">
        <v>162</v>
      </c>
      <c r="E566" s="2647" t="s">
        <v>404</v>
      </c>
      <c r="F566" s="2648" t="s">
        <v>225</v>
      </c>
      <c r="G566" s="422" t="s">
        <v>57</v>
      </c>
      <c r="Q566" s="421"/>
      <c r="R566" s="421"/>
      <c r="S566" s="421"/>
      <c r="T566" s="421"/>
      <c r="U566" s="421"/>
      <c r="V566" s="421"/>
      <c r="W566" s="421"/>
      <c r="X566" s="421"/>
      <c r="Y566" s="421"/>
      <c r="Z566" s="986"/>
    </row>
    <row r="567" spans="1:29" ht="30.75" customHeight="1" x14ac:dyDescent="0.25">
      <c r="A567" s="2756" t="s">
        <v>1216</v>
      </c>
      <c r="B567" s="2757"/>
      <c r="C567" s="2758"/>
      <c r="D567" s="2632">
        <f>E567+F567</f>
        <v>1327390</v>
      </c>
      <c r="E567" s="2635">
        <v>1170000</v>
      </c>
      <c r="F567" s="2637">
        <v>157390</v>
      </c>
      <c r="Q567" s="421"/>
      <c r="R567" s="421"/>
      <c r="S567" s="421"/>
      <c r="T567" s="421"/>
      <c r="U567" s="421"/>
      <c r="V567" s="421"/>
      <c r="W567" s="421"/>
      <c r="X567" s="421"/>
      <c r="Y567" s="421"/>
      <c r="Z567" s="986"/>
    </row>
    <row r="568" spans="1:29" ht="30.75" customHeight="1" x14ac:dyDescent="0.25">
      <c r="A568" s="2759" t="s">
        <v>1371</v>
      </c>
      <c r="B568" s="2760"/>
      <c r="C568" s="2761"/>
      <c r="D568" s="2633">
        <f>SUM(E568:F568)</f>
        <v>351409.15724999999</v>
      </c>
      <c r="E568" s="2641">
        <v>351409.15724999999</v>
      </c>
      <c r="F568" s="2638">
        <v>0</v>
      </c>
      <c r="Q568" s="422" t="s">
        <v>57</v>
      </c>
      <c r="S568" s="422" t="s">
        <v>57</v>
      </c>
      <c r="U568" s="422" t="s">
        <v>57</v>
      </c>
      <c r="AC568" s="422" t="s">
        <v>57</v>
      </c>
    </row>
    <row r="569" spans="1:29" ht="30.75" customHeight="1" x14ac:dyDescent="0.25">
      <c r="A569" s="2759" t="s">
        <v>1474</v>
      </c>
      <c r="B569" s="2760"/>
      <c r="C569" s="2761"/>
      <c r="D569" s="2634">
        <f>SUM(E569:F569)</f>
        <v>1106000</v>
      </c>
      <c r="E569" s="2636">
        <v>1106000</v>
      </c>
      <c r="F569" s="2639">
        <v>0</v>
      </c>
    </row>
    <row r="570" spans="1:29" ht="30.75" customHeight="1" x14ac:dyDescent="0.25">
      <c r="A570" s="2759" t="s">
        <v>1475</v>
      </c>
      <c r="B570" s="2760"/>
      <c r="C570" s="2761"/>
      <c r="D570" s="2634">
        <f>SUM(E570:F570)</f>
        <v>232946</v>
      </c>
      <c r="E570" s="2636">
        <v>0</v>
      </c>
      <c r="F570" s="2639">
        <v>232946</v>
      </c>
      <c r="M570" s="421" t="s">
        <v>57</v>
      </c>
    </row>
    <row r="571" spans="1:29" ht="30.75" customHeight="1" x14ac:dyDescent="0.25">
      <c r="A571" s="2759" t="s">
        <v>1633</v>
      </c>
      <c r="B571" s="2760"/>
      <c r="C571" s="2761"/>
      <c r="D571" s="2634">
        <f>E571+F571</f>
        <v>915.87599999999998</v>
      </c>
      <c r="E571" s="2636">
        <v>915.87599999999998</v>
      </c>
      <c r="F571" s="2639">
        <v>0</v>
      </c>
    </row>
    <row r="572" spans="1:29" ht="30.75" customHeight="1" x14ac:dyDescent="0.25">
      <c r="A572" s="2765" t="s">
        <v>1965</v>
      </c>
      <c r="B572" s="2766"/>
      <c r="C572" s="2767"/>
      <c r="D572" s="2634">
        <f>E572+F572</f>
        <v>58695.607880000003</v>
      </c>
      <c r="E572" s="2636">
        <v>58695.607880000003</v>
      </c>
      <c r="F572" s="2639">
        <v>0</v>
      </c>
    </row>
    <row r="573" spans="1:29" ht="30.75" customHeight="1" thickBot="1" x14ac:dyDescent="0.3">
      <c r="A573" s="2762" t="s">
        <v>1966</v>
      </c>
      <c r="B573" s="2763"/>
      <c r="C573" s="2764"/>
      <c r="D573" s="2642">
        <f>E573+F573</f>
        <v>-90000</v>
      </c>
      <c r="E573" s="2643">
        <v>-90000</v>
      </c>
      <c r="F573" s="2640">
        <v>0</v>
      </c>
    </row>
    <row r="574" spans="1:29" s="2644" customFormat="1" ht="30.75" customHeight="1" thickBot="1" x14ac:dyDescent="0.3">
      <c r="A574" s="2750" t="s">
        <v>1214</v>
      </c>
      <c r="B574" s="2751"/>
      <c r="C574" s="2752"/>
      <c r="D574" s="2681">
        <f>SUM(D567:D573)</f>
        <v>2987356.6411300004</v>
      </c>
      <c r="E574" s="2682">
        <f>SUM(E567:E573)</f>
        <v>2597020.6411300004</v>
      </c>
      <c r="F574" s="2683">
        <f>SUM(F567:F573)</f>
        <v>390336</v>
      </c>
      <c r="H574" s="2645"/>
      <c r="I574" s="2645"/>
      <c r="J574" s="2645"/>
      <c r="K574" s="2645"/>
      <c r="L574" s="2645"/>
      <c r="M574" s="2645"/>
      <c r="N574" s="2645"/>
      <c r="O574" s="2645"/>
    </row>
    <row r="575" spans="1:29" ht="16.2" thickBot="1" x14ac:dyDescent="0.35">
      <c r="A575" s="422"/>
      <c r="D575" s="422"/>
    </row>
    <row r="576" spans="1:29" ht="36" customHeight="1" thickBot="1" x14ac:dyDescent="0.3">
      <c r="A576" s="2753" t="s">
        <v>1643</v>
      </c>
      <c r="B576" s="2754"/>
      <c r="C576" s="2755"/>
      <c r="D576" s="2684">
        <f>O551</f>
        <v>2818068.05009</v>
      </c>
      <c r="E576" s="2685">
        <f>D576-F576</f>
        <v>2657982.2415</v>
      </c>
      <c r="F576" s="2686">
        <f>X551</f>
        <v>160085.80859000003</v>
      </c>
    </row>
  </sheetData>
  <autoFilter ref="A4:AF563" xr:uid="{F92670EA-993D-4B2C-AC58-B0074C08E99A}"/>
  <mergeCells count="47">
    <mergeCell ref="A555:E555"/>
    <mergeCell ref="A2:A3"/>
    <mergeCell ref="B2:B3"/>
    <mergeCell ref="C2:C3"/>
    <mergeCell ref="D2:D3"/>
    <mergeCell ref="E2:E3"/>
    <mergeCell ref="Q2:Q3"/>
    <mergeCell ref="G2:G3"/>
    <mergeCell ref="H2:H3"/>
    <mergeCell ref="I2:J2"/>
    <mergeCell ref="K2:L2"/>
    <mergeCell ref="M2:O2"/>
    <mergeCell ref="P2:P3"/>
    <mergeCell ref="U2:Y2"/>
    <mergeCell ref="AF2:AF3"/>
    <mergeCell ref="AC2:AC3"/>
    <mergeCell ref="AA2:AA3"/>
    <mergeCell ref="R2:T2"/>
    <mergeCell ref="AB2:AB3"/>
    <mergeCell ref="Z2:Z3"/>
    <mergeCell ref="AD2:AD3"/>
    <mergeCell ref="AE2:AE3"/>
    <mergeCell ref="F2:F3"/>
    <mergeCell ref="D557:E557"/>
    <mergeCell ref="D558:E558"/>
    <mergeCell ref="D551:F551"/>
    <mergeCell ref="A569:C569"/>
    <mergeCell ref="D559:E559"/>
    <mergeCell ref="A563:E563"/>
    <mergeCell ref="A557:C557"/>
    <mergeCell ref="A558:C558"/>
    <mergeCell ref="A559:C559"/>
    <mergeCell ref="A560:C560"/>
    <mergeCell ref="A561:C561"/>
    <mergeCell ref="B562:C562"/>
    <mergeCell ref="D562:E562"/>
    <mergeCell ref="D560:E560"/>
    <mergeCell ref="D561:E561"/>
    <mergeCell ref="A574:C574"/>
    <mergeCell ref="A576:C576"/>
    <mergeCell ref="A566:C566"/>
    <mergeCell ref="A567:C567"/>
    <mergeCell ref="A568:C568"/>
    <mergeCell ref="A570:C570"/>
    <mergeCell ref="A571:C571"/>
    <mergeCell ref="A573:C573"/>
    <mergeCell ref="A572:C572"/>
  </mergeCells>
  <phoneticPr fontId="35" type="noConversion"/>
  <pageMargins left="0.25" right="0.25" top="0.75" bottom="0.75" header="0.3" footer="0.3"/>
  <pageSetup paperSize="9" scale="17" fitToHeight="0" orientation="portrait" verticalDpi="0" r:id="rId1"/>
  <headerFooter>
    <oddFooter>&amp;Ltisk &amp;D&amp;T&amp;Rstr.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AKTUÁLNÍ ZI</vt:lpstr>
      <vt:lpstr>'AKTUÁLNÍ ZI'!Názvy_tisku</vt:lpstr>
      <vt:lpstr>'AKTUÁLNÍ ZI'!Oblast_tisku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2025-12-09T06:53:59Z</dcterms:modified>
</cp:coreProperties>
</file>